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9fc63cad6f6707/PFE/Materiel/"/>
    </mc:Choice>
  </mc:AlternateContent>
  <xr:revisionPtr revIDLastSave="237" documentId="10_ncr:0_{668CD674-9EA0-47FD-9D5E-A78FB13D9C6F}" xr6:coauthVersionLast="45" xr6:coauthVersionMax="45" xr10:uidLastSave="{EF99B7FE-AFF0-487F-AAAB-50351322B109}"/>
  <bookViews>
    <workbookView xWindow="8760" yWindow="0" windowWidth="8820" windowHeight="11835" activeTab="1" xr2:uid="{F1303001-3DFB-41FF-9577-A16DD7B18E4B}"/>
  </bookViews>
  <sheets>
    <sheet name="Feuil1" sheetId="1" r:id="rId1"/>
    <sheet name="Feuil2" sheetId="2" r:id="rId2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2" l="1"/>
  <c r="G13" i="2"/>
  <c r="D10" i="2"/>
  <c r="E10" i="2"/>
  <c r="E14" i="2" s="1"/>
  <c r="G10" i="2"/>
  <c r="G12" i="2" s="1"/>
  <c r="H10" i="2"/>
  <c r="H14" i="2" s="1"/>
  <c r="I10" i="2"/>
  <c r="I14" i="2" s="1"/>
  <c r="E17" i="2"/>
  <c r="C17" i="2"/>
  <c r="D15" i="2"/>
  <c r="D17" i="2" s="1"/>
  <c r="H17" i="1"/>
  <c r="C10" i="2"/>
  <c r="D18" i="1"/>
  <c r="E18" i="1"/>
  <c r="C18" i="1"/>
  <c r="H18" i="1"/>
  <c r="I18" i="1"/>
  <c r="G18" i="1"/>
  <c r="C16" i="1"/>
  <c r="H17" i="2" l="1"/>
  <c r="G17" i="2"/>
  <c r="I17" i="2"/>
  <c r="D14" i="2"/>
  <c r="C12" i="2"/>
  <c r="C14" i="1"/>
  <c r="C15" i="1"/>
  <c r="N22" i="1"/>
  <c r="O22" i="1"/>
  <c r="M19" i="1"/>
  <c r="M25" i="1"/>
  <c r="M22" i="1"/>
  <c r="C158" i="1" l="1"/>
  <c r="D158" i="1"/>
  <c r="E158" i="1"/>
  <c r="F158" i="1"/>
  <c r="G158" i="1"/>
  <c r="B158" i="1"/>
  <c r="B156" i="1"/>
  <c r="C159" i="1" s="1"/>
  <c r="F161" i="1"/>
  <c r="G164" i="1"/>
  <c r="G166" i="1" s="1"/>
  <c r="C164" i="1"/>
  <c r="C166" i="1" s="1"/>
  <c r="D164" i="1"/>
  <c r="D166" i="1" s="1"/>
  <c r="E164" i="1"/>
  <c r="E166" i="1" s="1"/>
  <c r="F164" i="1"/>
  <c r="F166" i="1" s="1"/>
  <c r="B164" i="1"/>
  <c r="B166" i="1" s="1"/>
  <c r="B159" i="1" l="1"/>
  <c r="G159" i="1"/>
  <c r="F159" i="1"/>
  <c r="E159" i="1"/>
  <c r="D159" i="1"/>
  <c r="D17" i="1"/>
  <c r="H129" i="1"/>
  <c r="B129" i="1"/>
  <c r="E127" i="1" s="1"/>
  <c r="E129" i="1" s="1"/>
  <c r="H128" i="1"/>
  <c r="B115" i="1"/>
  <c r="E113" i="1" s="1"/>
  <c r="E100" i="1"/>
  <c r="B100" i="1"/>
  <c r="H98" i="1" s="1"/>
  <c r="E99" i="1"/>
  <c r="E88" i="1"/>
  <c r="B88" i="1"/>
  <c r="H86" i="1" s="1"/>
  <c r="E87" i="1"/>
  <c r="E76" i="1"/>
  <c r="B76" i="1"/>
  <c r="H74" i="1" s="1"/>
  <c r="H76" i="1" s="1"/>
  <c r="E75" i="1"/>
  <c r="E59" i="1"/>
  <c r="B59" i="1"/>
  <c r="H57" i="1" s="1"/>
  <c r="E58" i="1"/>
  <c r="E47" i="1"/>
  <c r="B47" i="1"/>
  <c r="E46" i="1"/>
  <c r="H45" i="1"/>
  <c r="H46" i="1" s="1"/>
  <c r="E35" i="1"/>
  <c r="E34" i="1"/>
  <c r="B35" i="1"/>
  <c r="H33" i="1" s="1"/>
  <c r="H35" i="1" s="1"/>
  <c r="E19" i="1" l="1"/>
  <c r="C19" i="1"/>
  <c r="E30" i="1"/>
  <c r="C30" i="1"/>
  <c r="E26" i="1"/>
  <c r="E27" i="1"/>
  <c r="C24" i="1"/>
  <c r="C20" i="1"/>
  <c r="E15" i="1"/>
  <c r="E12" i="1" s="1"/>
  <c r="E14" i="1" s="1"/>
  <c r="D19" i="1"/>
  <c r="D30" i="1"/>
  <c r="D28" i="1"/>
  <c r="D22" i="1"/>
  <c r="D23" i="1"/>
  <c r="D15" i="1"/>
  <c r="D12" i="1" s="1"/>
  <c r="D14" i="1" s="1"/>
  <c r="S40" i="1"/>
  <c r="C40" i="1"/>
  <c r="K40" i="1"/>
  <c r="Q40" i="1"/>
  <c r="I40" i="1"/>
  <c r="O40" i="1"/>
  <c r="G40" i="1"/>
  <c r="U40" i="1"/>
  <c r="M40" i="1"/>
  <c r="E40" i="1"/>
  <c r="C127" i="1"/>
  <c r="C113" i="1"/>
  <c r="U134" i="1"/>
  <c r="T134" i="1"/>
  <c r="E134" i="1"/>
  <c r="L134" i="1"/>
  <c r="M134" i="1"/>
  <c r="D134" i="1"/>
  <c r="E128" i="1"/>
  <c r="F134" i="1" s="1"/>
  <c r="H134" i="1"/>
  <c r="P134" i="1"/>
  <c r="I134" i="1"/>
  <c r="Q134" i="1"/>
  <c r="E115" i="1"/>
  <c r="E114" i="1"/>
  <c r="H114" i="1"/>
  <c r="H115" i="1"/>
  <c r="H100" i="1"/>
  <c r="H99" i="1"/>
  <c r="H88" i="1"/>
  <c r="H87" i="1"/>
  <c r="S81" i="1"/>
  <c r="K81" i="1"/>
  <c r="C81" i="1"/>
  <c r="Q81" i="1"/>
  <c r="M81" i="1"/>
  <c r="I81" i="1"/>
  <c r="E81" i="1"/>
  <c r="O81" i="1"/>
  <c r="G81" i="1"/>
  <c r="U81" i="1"/>
  <c r="H75" i="1"/>
  <c r="H59" i="1"/>
  <c r="H58" i="1"/>
  <c r="R52" i="1"/>
  <c r="J52" i="1"/>
  <c r="B52" i="1"/>
  <c r="N52" i="1"/>
  <c r="T52" i="1"/>
  <c r="P52" i="1"/>
  <c r="H52" i="1"/>
  <c r="F52" i="1"/>
  <c r="L52" i="1"/>
  <c r="D52" i="1"/>
  <c r="H47" i="1"/>
  <c r="H34" i="1"/>
  <c r="G14" i="1"/>
  <c r="H14" i="1"/>
  <c r="I14" i="1"/>
  <c r="I15" i="1"/>
  <c r="H15" i="1"/>
  <c r="G15" i="1"/>
  <c r="G16" i="1" s="1"/>
  <c r="H4" i="1"/>
  <c r="G4" i="1"/>
  <c r="G3" i="1" s="1"/>
  <c r="C4" i="1"/>
  <c r="C5" i="1" s="1"/>
  <c r="H5" i="1" l="1"/>
  <c r="H8" i="1"/>
  <c r="H7" i="1" s="1"/>
  <c r="C3" i="1"/>
  <c r="C8" i="1"/>
  <c r="C7" i="1" s="1"/>
  <c r="I17" i="1"/>
  <c r="B120" i="1"/>
  <c r="R40" i="1"/>
  <c r="J40" i="1"/>
  <c r="B40" i="1"/>
  <c r="F40" i="1"/>
  <c r="N40" i="1"/>
  <c r="T40" i="1"/>
  <c r="L40" i="1"/>
  <c r="D40" i="1"/>
  <c r="P40" i="1"/>
  <c r="H40" i="1"/>
  <c r="E120" i="1"/>
  <c r="G8" i="1"/>
  <c r="G7" i="1" s="1"/>
  <c r="U120" i="1"/>
  <c r="T120" i="1"/>
  <c r="Q120" i="1"/>
  <c r="I120" i="1"/>
  <c r="M120" i="1"/>
  <c r="D120" i="1"/>
  <c r="P120" i="1"/>
  <c r="H120" i="1"/>
  <c r="L120" i="1"/>
  <c r="S120" i="1"/>
  <c r="K120" i="1"/>
  <c r="R120" i="1"/>
  <c r="J120" i="1"/>
  <c r="F120" i="1"/>
  <c r="C120" i="1"/>
  <c r="O120" i="1"/>
  <c r="G120" i="1"/>
  <c r="N120" i="1"/>
  <c r="S134" i="1"/>
  <c r="R134" i="1"/>
  <c r="N134" i="1"/>
  <c r="J134" i="1"/>
  <c r="G134" i="1"/>
  <c r="K134" i="1"/>
  <c r="C134" i="1"/>
  <c r="O134" i="1"/>
  <c r="B134" i="1"/>
  <c r="Q105" i="1"/>
  <c r="S105" i="1"/>
  <c r="K105" i="1"/>
  <c r="C105" i="1"/>
  <c r="I105" i="1"/>
  <c r="G105" i="1"/>
  <c r="M105" i="1"/>
  <c r="E105" i="1"/>
  <c r="O105" i="1"/>
  <c r="U105" i="1"/>
  <c r="T105" i="1"/>
  <c r="L105" i="1"/>
  <c r="D105" i="1"/>
  <c r="P105" i="1"/>
  <c r="R105" i="1"/>
  <c r="J105" i="1"/>
  <c r="B105" i="1"/>
  <c r="H105" i="1"/>
  <c r="F105" i="1"/>
  <c r="N105" i="1"/>
  <c r="T93" i="1"/>
  <c r="L93" i="1"/>
  <c r="D93" i="1"/>
  <c r="R93" i="1"/>
  <c r="J93" i="1"/>
  <c r="B93" i="1"/>
  <c r="H93" i="1"/>
  <c r="N93" i="1"/>
  <c r="P93" i="1"/>
  <c r="F93" i="1"/>
  <c r="U93" i="1"/>
  <c r="M93" i="1"/>
  <c r="E93" i="1"/>
  <c r="S93" i="1"/>
  <c r="K93" i="1"/>
  <c r="C93" i="1"/>
  <c r="G93" i="1"/>
  <c r="Q93" i="1"/>
  <c r="I93" i="1"/>
  <c r="O93" i="1"/>
  <c r="H81" i="1"/>
  <c r="T81" i="1"/>
  <c r="R81" i="1"/>
  <c r="J81" i="1"/>
  <c r="B81" i="1"/>
  <c r="P81" i="1"/>
  <c r="N81" i="1"/>
  <c r="F81" i="1"/>
  <c r="L81" i="1"/>
  <c r="D81" i="1"/>
  <c r="T64" i="1"/>
  <c r="L64" i="1"/>
  <c r="D64" i="1"/>
  <c r="P64" i="1"/>
  <c r="R64" i="1"/>
  <c r="J64" i="1"/>
  <c r="B64" i="1"/>
  <c r="H64" i="1"/>
  <c r="F64" i="1"/>
  <c r="N64" i="1"/>
  <c r="S64" i="1"/>
  <c r="K64" i="1"/>
  <c r="C64" i="1"/>
  <c r="M64" i="1"/>
  <c r="Q64" i="1"/>
  <c r="I64" i="1"/>
  <c r="G64" i="1"/>
  <c r="U64" i="1"/>
  <c r="O64" i="1"/>
  <c r="E64" i="1"/>
  <c r="S52" i="1"/>
  <c r="K52" i="1"/>
  <c r="C52" i="1"/>
  <c r="G52" i="1"/>
  <c r="U52" i="1"/>
  <c r="M52" i="1"/>
  <c r="Q52" i="1"/>
  <c r="I52" i="1"/>
  <c r="E52" i="1"/>
  <c r="O52" i="1"/>
  <c r="G5" i="1"/>
  <c r="H3" i="1"/>
  <c r="I4" i="1"/>
  <c r="I2" i="1" s="1"/>
  <c r="I8" i="1" s="1"/>
  <c r="I7" i="1" s="1"/>
  <c r="I5" i="1" l="1"/>
</calcChain>
</file>

<file path=xl/sharedStrings.xml><?xml version="1.0" encoding="utf-8"?>
<sst xmlns="http://schemas.openxmlformats.org/spreadsheetml/2006/main" count="320" uniqueCount="58">
  <si>
    <t>Tension max</t>
  </si>
  <si>
    <t>Tension min</t>
  </si>
  <si>
    <t>ratio</t>
  </si>
  <si>
    <t>R1</t>
  </si>
  <si>
    <t>R2</t>
  </si>
  <si>
    <t>Ur1max</t>
  </si>
  <si>
    <t>Ur2max</t>
  </si>
  <si>
    <t xml:space="preserve">ecart 1V =&gt; </t>
  </si>
  <si>
    <t>250V -&gt;</t>
  </si>
  <si>
    <t>160V -&gt;</t>
  </si>
  <si>
    <t>150V -&gt;</t>
  </si>
  <si>
    <t xml:space="preserve">8mV </t>
  </si>
  <si>
    <t>T</t>
  </si>
  <si>
    <t>140V -&gt;</t>
  </si>
  <si>
    <t>55V -&gt;</t>
  </si>
  <si>
    <t>50V -&gt;</t>
  </si>
  <si>
    <t>40V -&gt;</t>
  </si>
  <si>
    <t>10V -&gt;</t>
  </si>
  <si>
    <t>tension :</t>
  </si>
  <si>
    <t>Continue</t>
  </si>
  <si>
    <t>In :</t>
  </si>
  <si>
    <t>Out :</t>
  </si>
  <si>
    <t>R1 min</t>
  </si>
  <si>
    <t>R2 min</t>
  </si>
  <si>
    <t>rapport :</t>
  </si>
  <si>
    <t>R1 max</t>
  </si>
  <si>
    <t>R2 max</t>
  </si>
  <si>
    <t>R ajust</t>
  </si>
  <si>
    <t>R1min/R2min</t>
  </si>
  <si>
    <t>R1min/R2max</t>
  </si>
  <si>
    <t>R1max/R2min</t>
  </si>
  <si>
    <t>R2min/R2max</t>
  </si>
  <si>
    <t>Vs</t>
  </si>
  <si>
    <t>Alternative</t>
  </si>
  <si>
    <t>Haut</t>
  </si>
  <si>
    <t>R2max/R2max</t>
  </si>
  <si>
    <t>DIODE ZENER</t>
  </si>
  <si>
    <t>Input</t>
  </si>
  <si>
    <t>Output</t>
  </si>
  <si>
    <t>X</t>
  </si>
  <si>
    <t>Résistance R1 alter</t>
  </si>
  <si>
    <t>Résistance R2 alter</t>
  </si>
  <si>
    <t>Rd</t>
  </si>
  <si>
    <t>Req</t>
  </si>
  <si>
    <t>VsPdt</t>
  </si>
  <si>
    <t>VaPdT</t>
  </si>
  <si>
    <t>Vs alter</t>
  </si>
  <si>
    <t>TABLEAU DU CALCUL DES RESISTANCES</t>
  </si>
  <si>
    <t>Source de tension continue</t>
  </si>
  <si>
    <t>Source de tension alternative</t>
  </si>
  <si>
    <t>Tension max (V)</t>
  </si>
  <si>
    <t>Tension min (V)</t>
  </si>
  <si>
    <t>ratio 2V/Input</t>
  </si>
  <si>
    <t>R1 théorique (Ohm)</t>
  </si>
  <si>
    <t>R1 choisie (Ohm)</t>
  </si>
  <si>
    <t>R2 théorique (Ohm)</t>
  </si>
  <si>
    <t>R2 choisie (Ohm)</t>
  </si>
  <si>
    <t>Tension max réelle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</si>
</sst>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_-;\-* #,##0_-;_-* &quot;-&quot;??_-;_-@_-"/>
    <numFmt numFmtId="166" formatCode="_-* #,##0.000_-;\-* #,##0.000_-;_-* &quot;-&quot;??_-;_-@_-"/>
    <numFmt numFmtId="168" formatCode="_-* #,##0.00000\ _€_-;\-* #,##0.00000\ _€_-;_-* &quot;-&quot;?????\ _€_-;_-@_-"/>
    <numFmt numFmtId="169" formatCode="_-* #,##0.00000000_-;\-* #,##0.00000000_-;_-* &quot;-&quot;??_-;_-@_-"/>
    <numFmt numFmtId="170" formatCode="_-* #,##0.00\ _€_-;\-* #,##0.00\ _€_-;_-* &quot;-&quot;?????\ _€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FE69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165" fontId="0" fillId="0" borderId="0" xfId="1" applyNumberFormat="1" applyFont="1"/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6" fontId="0" fillId="0" borderId="0" xfId="0" applyNumberFormat="1"/>
    <xf numFmtId="166" fontId="0" fillId="2" borderId="0" xfId="0" applyNumberFormat="1" applyFill="1"/>
    <xf numFmtId="166" fontId="0" fillId="3" borderId="0" xfId="0" applyNumberFormat="1" applyFill="1"/>
    <xf numFmtId="166" fontId="0" fillId="4" borderId="0" xfId="0" applyNumberFormat="1" applyFill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165" fontId="0" fillId="13" borderId="0" xfId="1" applyNumberFormat="1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165" fontId="0" fillId="11" borderId="0" xfId="0" applyNumberFormat="1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165" fontId="0" fillId="5" borderId="0" xfId="1" applyNumberFormat="1" applyFont="1" applyFill="1" applyAlignment="1">
      <alignment horizontal="center" vertical="center"/>
    </xf>
    <xf numFmtId="165" fontId="0" fillId="11" borderId="0" xfId="0" applyNumberFormat="1" applyFill="1" applyAlignment="1">
      <alignment horizontal="center" vertical="center"/>
    </xf>
    <xf numFmtId="1" fontId="0" fillId="11" borderId="0" xfId="0" applyNumberFormat="1" applyFill="1" applyAlignment="1">
      <alignment horizontal="center" vertical="center"/>
    </xf>
    <xf numFmtId="1" fontId="0" fillId="5" borderId="0" xfId="0" applyNumberFormat="1" applyFill="1" applyAlignment="1">
      <alignment horizontal="center" vertical="center"/>
    </xf>
    <xf numFmtId="165" fontId="0" fillId="13" borderId="0" xfId="0" applyNumberFormat="1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165" fontId="0" fillId="15" borderId="0" xfId="0" applyNumberFormat="1" applyFill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BAAE5-E3FF-44B8-AEE0-08EE837F5E61}">
  <dimension ref="A2:U166"/>
  <sheetViews>
    <sheetView zoomScale="85" zoomScaleNormal="85" workbookViewId="0">
      <selection activeCell="H12" sqref="H12"/>
    </sheetView>
  </sheetViews>
  <sheetFormatPr defaultColWidth="11.42578125" defaultRowHeight="15"/>
  <cols>
    <col min="2" max="2" width="17" customWidth="1"/>
    <col min="3" max="3" width="12.5703125" bestFit="1" customWidth="1"/>
    <col min="4" max="4" width="13.5703125" bestFit="1" customWidth="1"/>
    <col min="7" max="7" width="12.5703125" bestFit="1" customWidth="1"/>
  </cols>
  <sheetData>
    <row r="2" spans="2:9">
      <c r="B2" t="s">
        <v>0</v>
      </c>
      <c r="C2">
        <v>250</v>
      </c>
      <c r="G2">
        <v>465</v>
      </c>
      <c r="H2">
        <v>150</v>
      </c>
      <c r="I2">
        <f>35/I4</f>
        <v>50</v>
      </c>
    </row>
    <row r="3" spans="2:9">
      <c r="B3" t="s">
        <v>1</v>
      </c>
      <c r="C3">
        <f>7/C4</f>
        <v>49.999999999999993</v>
      </c>
      <c r="G3">
        <f>10/G4</f>
        <v>132.85714285714286</v>
      </c>
      <c r="H3">
        <f>10/H4</f>
        <v>42.857142857142854</v>
      </c>
      <c r="I3">
        <v>10</v>
      </c>
    </row>
    <row r="4" spans="2:9">
      <c r="B4" t="s">
        <v>2</v>
      </c>
      <c r="C4">
        <f>35/C2</f>
        <v>0.14000000000000001</v>
      </c>
      <c r="G4">
        <f>35/G2</f>
        <v>7.5268817204301078E-2</v>
      </c>
      <c r="H4">
        <f>35/H2</f>
        <v>0.23333333333333334</v>
      </c>
      <c r="I4">
        <f>7/I3</f>
        <v>0.7</v>
      </c>
    </row>
    <row r="5" spans="2:9">
      <c r="B5" t="s">
        <v>3</v>
      </c>
      <c r="C5" s="1">
        <f>$C$6*(1-C4)/C4</f>
        <v>61428.57142857142</v>
      </c>
      <c r="D5" s="1"/>
      <c r="E5" s="1"/>
      <c r="F5" s="1"/>
      <c r="G5" s="1">
        <f t="shared" ref="G5:I5" si="0">$C$6*(1-G4)/G4</f>
        <v>122857.14285714284</v>
      </c>
      <c r="H5" s="1">
        <f t="shared" si="0"/>
        <v>32857.142857142855</v>
      </c>
      <c r="I5" s="1">
        <f t="shared" si="0"/>
        <v>4285.7142857142862</v>
      </c>
    </row>
    <row r="6" spans="2:9">
      <c r="B6" t="s">
        <v>4</v>
      </c>
      <c r="C6">
        <v>10000</v>
      </c>
    </row>
    <row r="7" spans="2:9">
      <c r="B7" t="s">
        <v>5</v>
      </c>
      <c r="C7">
        <f>C2-C8</f>
        <v>215</v>
      </c>
      <c r="G7">
        <f t="shared" ref="G7:I7" si="1">G2-G8</f>
        <v>430</v>
      </c>
      <c r="H7">
        <f t="shared" si="1"/>
        <v>115</v>
      </c>
      <c r="I7">
        <f t="shared" si="1"/>
        <v>15</v>
      </c>
    </row>
    <row r="8" spans="2:9">
      <c r="B8" t="s">
        <v>6</v>
      </c>
      <c r="C8">
        <f>C2*C4</f>
        <v>35</v>
      </c>
      <c r="G8">
        <f t="shared" ref="G8:I8" si="2">G2*G4</f>
        <v>35</v>
      </c>
      <c r="H8">
        <f t="shared" si="2"/>
        <v>35</v>
      </c>
      <c r="I8">
        <f t="shared" si="2"/>
        <v>35</v>
      </c>
    </row>
    <row r="12" spans="2:9">
      <c r="B12" t="s">
        <v>0</v>
      </c>
      <c r="C12">
        <v>250</v>
      </c>
      <c r="D12">
        <f>2/D15</f>
        <v>160.8310038119441</v>
      </c>
      <c r="E12">
        <f>2/E15</f>
        <v>55.191489361702125</v>
      </c>
      <c r="G12">
        <v>500</v>
      </c>
      <c r="H12">
        <v>150</v>
      </c>
      <c r="I12">
        <v>50</v>
      </c>
    </row>
    <row r="13" spans="2:9">
      <c r="B13" t="s">
        <v>1</v>
      </c>
      <c r="C13">
        <v>150</v>
      </c>
      <c r="D13">
        <v>50</v>
      </c>
      <c r="E13">
        <v>0</v>
      </c>
      <c r="G13">
        <v>150</v>
      </c>
      <c r="H13">
        <v>50</v>
      </c>
      <c r="I13">
        <v>10</v>
      </c>
    </row>
    <row r="14" spans="2:9">
      <c r="B14" t="s">
        <v>7</v>
      </c>
      <c r="C14">
        <f>2/C12</f>
        <v>8.0000000000000002E-3</v>
      </c>
      <c r="D14">
        <f>2/D12</f>
        <v>1.2435413276028252E-2</v>
      </c>
      <c r="E14">
        <f>2/E12</f>
        <v>3.6237471087124135E-2</v>
      </c>
      <c r="G14">
        <f>(G12-G13)/1024</f>
        <v>0.341796875</v>
      </c>
      <c r="H14">
        <f t="shared" ref="H14:I14" si="3">2/(H12-H13)</f>
        <v>0.02</v>
      </c>
      <c r="I14">
        <f t="shared" si="3"/>
        <v>0.05</v>
      </c>
    </row>
    <row r="15" spans="2:9">
      <c r="B15" t="s">
        <v>2</v>
      </c>
      <c r="C15">
        <f>2/C12</f>
        <v>8.0000000000000002E-3</v>
      </c>
      <c r="D15">
        <f>D17/(D17+C16)</f>
        <v>1.2435413276028252E-2</v>
      </c>
      <c r="E15">
        <f>E17/(E17+C16)</f>
        <v>3.6237471087124135E-2</v>
      </c>
      <c r="G15">
        <f>2/G12</f>
        <v>4.0000000000000001E-3</v>
      </c>
      <c r="H15">
        <f>2/H12</f>
        <v>1.3333333333333334E-2</v>
      </c>
      <c r="I15">
        <f>2/I12</f>
        <v>0.04</v>
      </c>
    </row>
    <row r="16" spans="2:9">
      <c r="B16" t="s">
        <v>3</v>
      </c>
      <c r="C16" s="1">
        <f>C17/C15</f>
        <v>1250000</v>
      </c>
      <c r="D16" s="1"/>
      <c r="E16" s="1"/>
      <c r="F16" s="1"/>
      <c r="G16" s="1">
        <f t="shared" ref="G16" si="4">$C$6*(1-G15)/G15</f>
        <v>2490000</v>
      </c>
      <c r="H16" s="1"/>
      <c r="I16" s="1"/>
    </row>
    <row r="17" spans="1:15">
      <c r="B17" t="s">
        <v>4</v>
      </c>
      <c r="C17">
        <v>10000</v>
      </c>
      <c r="D17" s="2">
        <f>2*7870</f>
        <v>15740</v>
      </c>
      <c r="E17" s="2">
        <v>47000</v>
      </c>
      <c r="G17" s="2">
        <v>10000</v>
      </c>
      <c r="H17" s="2">
        <f>$G$16*H15</f>
        <v>33200</v>
      </c>
      <c r="I17" s="2">
        <f t="shared" ref="H17:I17" si="5">$G$16*I15</f>
        <v>99600</v>
      </c>
    </row>
    <row r="18" spans="1:15">
      <c r="C18" s="14">
        <f>C17/(C17+$C$16)*C12</f>
        <v>1.984126984126984</v>
      </c>
      <c r="D18" s="14">
        <f t="shared" ref="D18:E18" si="6">D17/(D17+$C$16)*D12</f>
        <v>2</v>
      </c>
      <c r="E18" s="14">
        <f t="shared" si="6"/>
        <v>2</v>
      </c>
      <c r="G18">
        <f>G17/(G17+$G$16)*G12</f>
        <v>2</v>
      </c>
      <c r="H18">
        <f t="shared" ref="H18:I18" si="7">H17/(H17+$G$16)*H12</f>
        <v>1.9736842105263157</v>
      </c>
      <c r="I18">
        <f t="shared" si="7"/>
        <v>1.9230769230769231</v>
      </c>
    </row>
    <row r="19" spans="1:15">
      <c r="C19" s="15">
        <f>2*(C17+$C$16)/C17</f>
        <v>252</v>
      </c>
      <c r="D19" s="15">
        <f t="shared" ref="D19:E19" si="8">2*(D17+$C$16)/D17</f>
        <v>160.8310038119441</v>
      </c>
      <c r="E19" s="15">
        <f t="shared" si="8"/>
        <v>55.191489361702125</v>
      </c>
      <c r="M19">
        <f>2/150</f>
        <v>1.3333333333333334E-2</v>
      </c>
    </row>
    <row r="20" spans="1:15">
      <c r="B20" t="s">
        <v>8</v>
      </c>
      <c r="C20" s="10">
        <f>250*C17/(C16+C17)</f>
        <v>1.9841269841269842</v>
      </c>
      <c r="D20" s="9"/>
      <c r="E20" s="9"/>
      <c r="F20" s="13"/>
    </row>
    <row r="21" spans="1:15">
      <c r="C21" s="9"/>
      <c r="D21" s="9"/>
      <c r="E21" s="9"/>
    </row>
    <row r="22" spans="1:15">
      <c r="B22" t="s">
        <v>9</v>
      </c>
      <c r="C22" s="9"/>
      <c r="D22" s="11">
        <f>160*D17/(D17+C16)</f>
        <v>1.9896661241645204</v>
      </c>
      <c r="E22" s="9"/>
      <c r="G22" s="13"/>
      <c r="M22">
        <f>2/250</f>
        <v>8.0000000000000002E-3</v>
      </c>
      <c r="N22">
        <f>2/160</f>
        <v>1.2500000000000001E-2</v>
      </c>
      <c r="O22">
        <f>2/55</f>
        <v>3.6363636363636362E-2</v>
      </c>
    </row>
    <row r="23" spans="1:15">
      <c r="B23" t="s">
        <v>10</v>
      </c>
      <c r="C23" s="9"/>
      <c r="D23" s="10">
        <f>150*D17/(D17+C16)</f>
        <v>1.8653119914042378</v>
      </c>
      <c r="E23" s="9"/>
      <c r="M23" t="s">
        <v>11</v>
      </c>
      <c r="N23" t="s">
        <v>12</v>
      </c>
    </row>
    <row r="24" spans="1:15">
      <c r="B24" t="s">
        <v>13</v>
      </c>
      <c r="C24" s="12">
        <f>140*C17/(C16+C17)</f>
        <v>1.1111111111111112</v>
      </c>
      <c r="D24" s="9"/>
      <c r="E24" s="9"/>
    </row>
    <row r="25" spans="1:15">
      <c r="C25" s="9"/>
      <c r="D25" s="9"/>
      <c r="E25" s="9"/>
      <c r="M25">
        <f>5/1024</f>
        <v>4.8828125E-3</v>
      </c>
    </row>
    <row r="26" spans="1:15">
      <c r="B26" t="s">
        <v>14</v>
      </c>
      <c r="C26" s="9"/>
      <c r="D26" s="9"/>
      <c r="E26" s="11">
        <f>55*E17/(E17+C16)</f>
        <v>1.9930609097918273</v>
      </c>
    </row>
    <row r="27" spans="1:15">
      <c r="B27" t="s">
        <v>15</v>
      </c>
      <c r="C27" s="9"/>
      <c r="D27" s="9"/>
      <c r="E27" s="10">
        <f>50*E17/(E17+C16)</f>
        <v>1.8118735543562066</v>
      </c>
    </row>
    <row r="28" spans="1:15">
      <c r="B28" t="s">
        <v>16</v>
      </c>
      <c r="C28" s="9"/>
      <c r="D28" s="12">
        <f>40*D17/(D17+C16)</f>
        <v>0.49741653104113009</v>
      </c>
      <c r="E28" s="9"/>
    </row>
    <row r="29" spans="1:15">
      <c r="C29" s="9"/>
      <c r="D29" s="9"/>
      <c r="E29" s="9"/>
    </row>
    <row r="30" spans="1:15">
      <c r="B30" t="s">
        <v>17</v>
      </c>
      <c r="C30" s="9">
        <f>10*C17/(C17+$C$16)</f>
        <v>7.9365079365079361E-2</v>
      </c>
      <c r="D30" s="9">
        <f t="shared" ref="D30:E30" si="9">10*D17/(D17+$C$16)</f>
        <v>0.12435413276028252</v>
      </c>
      <c r="E30" s="9">
        <f t="shared" si="9"/>
        <v>0.36237471087124135</v>
      </c>
    </row>
    <row r="32" spans="1:15">
      <c r="A32" t="s">
        <v>18</v>
      </c>
      <c r="B32" t="s">
        <v>19</v>
      </c>
    </row>
    <row r="33" spans="1:21">
      <c r="A33" t="s">
        <v>20</v>
      </c>
      <c r="B33">
        <v>50</v>
      </c>
      <c r="D33" t="s">
        <v>3</v>
      </c>
      <c r="E33">
        <v>1250000</v>
      </c>
      <c r="G33" t="s">
        <v>4</v>
      </c>
      <c r="H33">
        <f>E33*B35</f>
        <v>50000</v>
      </c>
    </row>
    <row r="34" spans="1:21">
      <c r="A34" t="s">
        <v>21</v>
      </c>
      <c r="B34">
        <v>2</v>
      </c>
      <c r="D34" t="s">
        <v>22</v>
      </c>
      <c r="E34">
        <f>E33*0.99</f>
        <v>1237500</v>
      </c>
      <c r="G34" t="s">
        <v>23</v>
      </c>
      <c r="H34">
        <f>H33*0.99</f>
        <v>49500</v>
      </c>
    </row>
    <row r="35" spans="1:21">
      <c r="A35" t="s">
        <v>24</v>
      </c>
      <c r="B35">
        <f>B34/B33</f>
        <v>0.04</v>
      </c>
      <c r="D35" t="s">
        <v>25</v>
      </c>
      <c r="E35">
        <f>E33*1.01</f>
        <v>1262500</v>
      </c>
      <c r="G35" t="s">
        <v>26</v>
      </c>
      <c r="H35">
        <f>H33*1.01</f>
        <v>50500</v>
      </c>
    </row>
    <row r="37" spans="1:21" ht="15.75" thickBot="1"/>
    <row r="38" spans="1:21">
      <c r="A38" t="s">
        <v>27</v>
      </c>
      <c r="B38" s="16">
        <v>0</v>
      </c>
      <c r="C38" s="17"/>
      <c r="D38" s="17"/>
      <c r="E38" s="18"/>
      <c r="F38" s="16">
        <v>500</v>
      </c>
      <c r="G38" s="17"/>
      <c r="H38" s="17"/>
      <c r="I38" s="18"/>
      <c r="J38" s="16">
        <v>1000</v>
      </c>
      <c r="K38" s="17"/>
      <c r="L38" s="17"/>
      <c r="M38" s="18"/>
      <c r="N38" s="16">
        <v>2000</v>
      </c>
      <c r="O38" s="17"/>
      <c r="P38" s="17"/>
      <c r="Q38" s="18"/>
      <c r="R38" s="16">
        <v>2500</v>
      </c>
      <c r="S38" s="17"/>
      <c r="T38" s="17"/>
      <c r="U38" s="18"/>
    </row>
    <row r="39" spans="1:21">
      <c r="B39" s="3" t="s">
        <v>28</v>
      </c>
      <c r="C39" s="4" t="s">
        <v>29</v>
      </c>
      <c r="D39" s="4" t="s">
        <v>30</v>
      </c>
      <c r="E39" s="5" t="s">
        <v>31</v>
      </c>
      <c r="F39" s="3" t="s">
        <v>28</v>
      </c>
      <c r="G39" s="4" t="s">
        <v>29</v>
      </c>
      <c r="H39" s="4" t="s">
        <v>30</v>
      </c>
      <c r="I39" s="5" t="s">
        <v>31</v>
      </c>
      <c r="J39" s="3" t="s">
        <v>28</v>
      </c>
      <c r="K39" s="4" t="s">
        <v>29</v>
      </c>
      <c r="L39" s="4" t="s">
        <v>30</v>
      </c>
      <c r="M39" s="5" t="s">
        <v>31</v>
      </c>
      <c r="N39" s="3" t="s">
        <v>28</v>
      </c>
      <c r="O39" s="4" t="s">
        <v>29</v>
      </c>
      <c r="P39" s="4" t="s">
        <v>30</v>
      </c>
      <c r="Q39" s="5" t="s">
        <v>31</v>
      </c>
      <c r="R39" s="3" t="s">
        <v>28</v>
      </c>
      <c r="S39" s="4" t="s">
        <v>29</v>
      </c>
      <c r="T39" s="4" t="s">
        <v>30</v>
      </c>
      <c r="U39" s="5" t="s">
        <v>31</v>
      </c>
    </row>
    <row r="40" spans="1:21" ht="15.75" thickBot="1">
      <c r="A40" t="s">
        <v>32</v>
      </c>
      <c r="B40" s="6">
        <f>$B33*(($H34+B38)/($H34+B38+$E34))</f>
        <v>1.9230769230769231</v>
      </c>
      <c r="C40" s="7">
        <f>$B33*(($H35+B38)/($H35+B38+$E34))</f>
        <v>1.9604037267080745</v>
      </c>
      <c r="D40" s="7">
        <f>$B33*(($H34+B38)/($H34+B38+$E35))</f>
        <v>1.8864329268292683</v>
      </c>
      <c r="E40" s="8">
        <f>$B33*(($H35+B38)/($H35+B38+$E35))</f>
        <v>1.9230769230769231</v>
      </c>
      <c r="F40" s="6">
        <f>$B33*(($H34+F38)/($H34+F38+$E34))</f>
        <v>1.9417475728155338</v>
      </c>
      <c r="G40" s="7">
        <f>$B33*(($H35+F38)/($H35+F38+$E34))</f>
        <v>1.979045401629802</v>
      </c>
      <c r="H40" s="7">
        <f>$B33*(($H34+F38)/($H34+F38+$E35))</f>
        <v>1.9047619047619049</v>
      </c>
      <c r="I40" s="8">
        <f>$B33*(($H35+F38)/($H35+F38+$E35))</f>
        <v>1.9413779977160257</v>
      </c>
      <c r="J40" s="6">
        <f>$B33*(($H34+J38)/($H34+J38+$E34))</f>
        <v>1.9604037267080745</v>
      </c>
      <c r="K40" s="7">
        <f>$B33*(($H35+J38)/($H35+J38+$E34))</f>
        <v>1.9976726144297903</v>
      </c>
      <c r="L40" s="7">
        <f>$B33*(($H34+J38)/($H34+J38+$E35))</f>
        <v>1.9230769230769231</v>
      </c>
      <c r="M40" s="8">
        <f>$B33*(($H35+J38)/($H35+J38+$E35))</f>
        <v>1.9596651445966513</v>
      </c>
      <c r="N40" s="6">
        <f>$B33*(($H34+N38)/($H34+N38+$E34))</f>
        <v>1.9976726144297903</v>
      </c>
      <c r="O40" s="7">
        <f>$B33*(($H35+N38)/($H35+N38+$E34))</f>
        <v>2.0348837209302326</v>
      </c>
      <c r="P40" s="7">
        <f>$B33*(($H34+N38)/($H34+N38+$E35))</f>
        <v>1.9596651445966513</v>
      </c>
      <c r="Q40" s="8">
        <f>$B33*(($H35+N38)/($H35+N38+$E35))</f>
        <v>1.9961977186311788</v>
      </c>
      <c r="R40" s="6">
        <f>$B33*(($H34+R38)/($H34+R38+$E34))</f>
        <v>2.0162853819309809</v>
      </c>
      <c r="S40" s="7">
        <f>$B33*(($H35+R38)/($H35+R38+$E34))</f>
        <v>2.0534676481983727</v>
      </c>
      <c r="T40" s="7">
        <f>$B33*(($H34+R38)/($H34+R38+$E35))</f>
        <v>1.9779383796120198</v>
      </c>
      <c r="U40" s="8">
        <f>$B33*(($H35+R38)/($H35+R38+$E35))</f>
        <v>2.0144431774990497</v>
      </c>
    </row>
    <row r="44" spans="1:21">
      <c r="A44" t="s">
        <v>18</v>
      </c>
      <c r="B44" t="s">
        <v>19</v>
      </c>
    </row>
    <row r="45" spans="1:21">
      <c r="A45" t="s">
        <v>20</v>
      </c>
      <c r="B45">
        <v>150</v>
      </c>
      <c r="D45" t="s">
        <v>3</v>
      </c>
      <c r="E45">
        <v>1250000</v>
      </c>
      <c r="G45" t="s">
        <v>4</v>
      </c>
      <c r="H45">
        <f>E45*B47</f>
        <v>16666.666666666668</v>
      </c>
    </row>
    <row r="46" spans="1:21">
      <c r="A46" t="s">
        <v>21</v>
      </c>
      <c r="B46">
        <v>2</v>
      </c>
      <c r="D46" t="s">
        <v>22</v>
      </c>
      <c r="E46">
        <f>E45*0.99</f>
        <v>1237500</v>
      </c>
      <c r="G46" t="s">
        <v>23</v>
      </c>
      <c r="H46">
        <f>H45*0.99</f>
        <v>16500</v>
      </c>
    </row>
    <row r="47" spans="1:21">
      <c r="A47" t="s">
        <v>24</v>
      </c>
      <c r="B47">
        <f>B46/B45</f>
        <v>1.3333333333333334E-2</v>
      </c>
      <c r="D47" t="s">
        <v>25</v>
      </c>
      <c r="E47">
        <f>E45*1.01</f>
        <v>1262500</v>
      </c>
      <c r="G47" t="s">
        <v>26</v>
      </c>
      <c r="H47">
        <f>H45*1.01</f>
        <v>16833.333333333336</v>
      </c>
    </row>
    <row r="49" spans="1:21" ht="15.75" thickBot="1"/>
    <row r="50" spans="1:21">
      <c r="A50" t="s">
        <v>27</v>
      </c>
      <c r="B50" s="16">
        <v>0</v>
      </c>
      <c r="C50" s="17"/>
      <c r="D50" s="17"/>
      <c r="E50" s="18"/>
      <c r="F50" s="16">
        <v>500</v>
      </c>
      <c r="G50" s="17"/>
      <c r="H50" s="17"/>
      <c r="I50" s="18"/>
      <c r="J50" s="16">
        <v>1000</v>
      </c>
      <c r="K50" s="17"/>
      <c r="L50" s="17"/>
      <c r="M50" s="18"/>
      <c r="N50" s="16">
        <v>2000</v>
      </c>
      <c r="O50" s="17"/>
      <c r="P50" s="17"/>
      <c r="Q50" s="18"/>
      <c r="R50" s="16">
        <v>2500</v>
      </c>
      <c r="S50" s="17"/>
      <c r="T50" s="17"/>
      <c r="U50" s="18"/>
    </row>
    <row r="51" spans="1:21">
      <c r="B51" s="3" t="s">
        <v>28</v>
      </c>
      <c r="C51" s="4" t="s">
        <v>29</v>
      </c>
      <c r="D51" s="4" t="s">
        <v>30</v>
      </c>
      <c r="E51" s="5" t="s">
        <v>31</v>
      </c>
      <c r="F51" s="3" t="s">
        <v>28</v>
      </c>
      <c r="G51" s="4" t="s">
        <v>29</v>
      </c>
      <c r="H51" s="4" t="s">
        <v>30</v>
      </c>
      <c r="I51" s="5" t="s">
        <v>31</v>
      </c>
      <c r="J51" s="3" t="s">
        <v>28</v>
      </c>
      <c r="K51" s="4" t="s">
        <v>29</v>
      </c>
      <c r="L51" s="4" t="s">
        <v>30</v>
      </c>
      <c r="M51" s="5" t="s">
        <v>31</v>
      </c>
      <c r="N51" s="3" t="s">
        <v>28</v>
      </c>
      <c r="O51" s="4" t="s">
        <v>29</v>
      </c>
      <c r="P51" s="4" t="s">
        <v>30</v>
      </c>
      <c r="Q51" s="5" t="s">
        <v>31</v>
      </c>
      <c r="R51" s="3" t="s">
        <v>28</v>
      </c>
      <c r="S51" s="4" t="s">
        <v>29</v>
      </c>
      <c r="T51" s="4" t="s">
        <v>30</v>
      </c>
      <c r="U51" s="5" t="s">
        <v>31</v>
      </c>
    </row>
    <row r="52" spans="1:21" ht="15.75" thickBot="1">
      <c r="A52" t="s">
        <v>32</v>
      </c>
      <c r="B52" s="6">
        <f>$B45*(($H46+B50)/($H46+B50+$E46))</f>
        <v>1.9736842105263157</v>
      </c>
      <c r="C52" s="7">
        <f>$B45*(($H47+B50)/($H47+B50+$E46))</f>
        <v>2.0130215253786874</v>
      </c>
      <c r="D52" s="7">
        <f>$B45*(($H46+B50)/($H46+B50+$E47))</f>
        <v>1.9351055512118844</v>
      </c>
      <c r="E52" s="8">
        <f>$B45*(($H47+B50)/($H47+B50+$E47))</f>
        <v>1.9736842105263162</v>
      </c>
      <c r="F52" s="6">
        <f>$B45*(($H46+F50)/($H46+F50+$E46))</f>
        <v>2.0326823435631725</v>
      </c>
      <c r="G52" s="7">
        <f>$B45*(($H47+F50)/($H47+F50+$E46))</f>
        <v>2.0719883118608053</v>
      </c>
      <c r="H52" s="7">
        <f>$B45*(($H46+F50)/($H46+F50+$E47))</f>
        <v>1.9929660023446658</v>
      </c>
      <c r="I52" s="8">
        <f>$B45*(($H47+F50)/($H47+F50+$E47))</f>
        <v>2.0315145201198077</v>
      </c>
      <c r="J52" s="6">
        <f>$B45*(($H46+J50)/($H46+J50+$E46))</f>
        <v>2.0916334661354581</v>
      </c>
      <c r="K52" s="7">
        <f>$B45*(($H47+J50)/($H47+J50+$E46))</f>
        <v>2.1309081253319175</v>
      </c>
      <c r="L52" s="7">
        <f>$B45*(($H46+J50)/($H46+J50+$E47))</f>
        <v>2.05078125</v>
      </c>
      <c r="M52" s="8">
        <f>$B45*(($H47+J50)/($H47+J50+$E47))</f>
        <v>2.0892996615464727</v>
      </c>
      <c r="N52" s="6">
        <f>$B45*(($H46+N50)/($H46+N50+$E46))</f>
        <v>2.2093949044585988</v>
      </c>
      <c r="O52" s="7">
        <f>$B45*(($H47+N50)/($H47+N50+$E46))</f>
        <v>2.2486070575749539</v>
      </c>
      <c r="P52" s="7">
        <f>$B45*(($H46+N50)/($H46+N50+$E47))</f>
        <v>2.1662763466042154</v>
      </c>
      <c r="Q52" s="8">
        <f>$B45*(($H47+N50)/($H47+N50+$E47))</f>
        <v>2.2047346514047872</v>
      </c>
      <c r="R52" s="6">
        <f>$B45*(($H46+R50)/($H46+R50+$E46))</f>
        <v>2.2682053322721845</v>
      </c>
      <c r="S52" s="7">
        <f>$B45*(($H47+R50)/($H47+R50+$E46))</f>
        <v>2.3073862882906782</v>
      </c>
      <c r="T52" s="7">
        <f>$B45*(($H46+R50)/($H46+R50+$E47))</f>
        <v>2.2239563012095203</v>
      </c>
      <c r="U52" s="8">
        <f>$B45*(($H47+R50)/($H47+R50+$E47))</f>
        <v>2.2623846053829153</v>
      </c>
    </row>
    <row r="56" spans="1:21">
      <c r="A56" t="s">
        <v>18</v>
      </c>
      <c r="B56" t="s">
        <v>19</v>
      </c>
    </row>
    <row r="57" spans="1:21">
      <c r="A57" t="s">
        <v>20</v>
      </c>
      <c r="B57">
        <v>250</v>
      </c>
      <c r="D57" t="s">
        <v>3</v>
      </c>
      <c r="E57">
        <v>1250000</v>
      </c>
      <c r="G57" t="s">
        <v>4</v>
      </c>
      <c r="H57">
        <f>E57*B59</f>
        <v>10000</v>
      </c>
    </row>
    <row r="58" spans="1:21">
      <c r="A58" t="s">
        <v>21</v>
      </c>
      <c r="B58">
        <v>2</v>
      </c>
      <c r="D58" t="s">
        <v>22</v>
      </c>
      <c r="E58">
        <f>E57*0.99</f>
        <v>1237500</v>
      </c>
      <c r="G58" t="s">
        <v>23</v>
      </c>
      <c r="H58">
        <f>H57*0.99</f>
        <v>9900</v>
      </c>
    </row>
    <row r="59" spans="1:21">
      <c r="A59" t="s">
        <v>24</v>
      </c>
      <c r="B59">
        <f>B58/B57</f>
        <v>8.0000000000000002E-3</v>
      </c>
      <c r="D59" t="s">
        <v>25</v>
      </c>
      <c r="E59">
        <f>E57*1.01</f>
        <v>1262500</v>
      </c>
      <c r="G59" t="s">
        <v>26</v>
      </c>
      <c r="H59">
        <f>H57*1.01</f>
        <v>10100</v>
      </c>
    </row>
    <row r="61" spans="1:21" ht="15.75" thickBot="1"/>
    <row r="62" spans="1:21">
      <c r="A62" t="s">
        <v>27</v>
      </c>
      <c r="B62" s="16">
        <v>0</v>
      </c>
      <c r="C62" s="17"/>
      <c r="D62" s="17"/>
      <c r="E62" s="18"/>
      <c r="F62" s="16">
        <v>500</v>
      </c>
      <c r="G62" s="17"/>
      <c r="H62" s="17"/>
      <c r="I62" s="18"/>
      <c r="J62" s="16">
        <v>1000</v>
      </c>
      <c r="K62" s="17"/>
      <c r="L62" s="17"/>
      <c r="M62" s="18"/>
      <c r="N62" s="16">
        <v>2000</v>
      </c>
      <c r="O62" s="17"/>
      <c r="P62" s="17"/>
      <c r="Q62" s="18"/>
      <c r="R62" s="16">
        <v>2500</v>
      </c>
      <c r="S62" s="17"/>
      <c r="T62" s="17"/>
      <c r="U62" s="18"/>
    </row>
    <row r="63" spans="1:21">
      <c r="B63" s="3" t="s">
        <v>28</v>
      </c>
      <c r="C63" s="4" t="s">
        <v>29</v>
      </c>
      <c r="D63" s="4" t="s">
        <v>30</v>
      </c>
      <c r="E63" s="5" t="s">
        <v>31</v>
      </c>
      <c r="F63" s="3" t="s">
        <v>28</v>
      </c>
      <c r="G63" s="4" t="s">
        <v>29</v>
      </c>
      <c r="H63" s="4" t="s">
        <v>30</v>
      </c>
      <c r="I63" s="5" t="s">
        <v>31</v>
      </c>
      <c r="J63" s="3" t="s">
        <v>28</v>
      </c>
      <c r="K63" s="4" t="s">
        <v>29</v>
      </c>
      <c r="L63" s="4" t="s">
        <v>30</v>
      </c>
      <c r="M63" s="5" t="s">
        <v>31</v>
      </c>
      <c r="N63" s="3" t="s">
        <v>28</v>
      </c>
      <c r="O63" s="4" t="s">
        <v>29</v>
      </c>
      <c r="P63" s="4" t="s">
        <v>30</v>
      </c>
      <c r="Q63" s="5" t="s">
        <v>31</v>
      </c>
      <c r="R63" s="3" t="s">
        <v>28</v>
      </c>
      <c r="S63" s="4" t="s">
        <v>29</v>
      </c>
      <c r="T63" s="4" t="s">
        <v>30</v>
      </c>
      <c r="U63" s="5" t="s">
        <v>31</v>
      </c>
    </row>
    <row r="64" spans="1:21" ht="15.75" thickBot="1">
      <c r="A64" t="s">
        <v>32</v>
      </c>
      <c r="B64" s="6">
        <f>$B57*(($H58+B62)/($H58+B62+$E58))</f>
        <v>1.984126984126984</v>
      </c>
      <c r="C64" s="7">
        <f>$B57*(($H59+B62)/($H59+B62+$E58))</f>
        <v>2.0238858608528374</v>
      </c>
      <c r="D64" s="7">
        <f>$B57*(($H58+B62)/($H58+B62+$E59))</f>
        <v>1.9451430367808866</v>
      </c>
      <c r="E64" s="8">
        <f>$B57*(($H59+B62)/($H59+B62+$E59))</f>
        <v>1.984126984126984</v>
      </c>
      <c r="F64" s="6">
        <f>$B57*(($H58+F62)/($H58+F62+$E58))</f>
        <v>2.0835002804711915</v>
      </c>
      <c r="G64" s="7">
        <f>$B57*(($H59+F62)/($H59+F62+$E58))</f>
        <v>2.1232273055043667</v>
      </c>
      <c r="H64" s="7">
        <f>$B57*(($H58+F62)/($H58+F62+$E59))</f>
        <v>2.042579935580171</v>
      </c>
      <c r="I64" s="8">
        <f>$B57*(($H59+F62)/($H59+F62+$E59))</f>
        <v>2.0815332652580318</v>
      </c>
      <c r="J64" s="6">
        <f>$B57*(($H58+J62)/($H58+J62+$E58))</f>
        <v>2.1827939762896507</v>
      </c>
      <c r="K64" s="7">
        <f>$B57*(($H59+J62)/($H59+J62+$E58))</f>
        <v>2.2224891878904374</v>
      </c>
      <c r="L64" s="7">
        <f>$B57*(($H58+J62)/($H58+J62+$E59))</f>
        <v>2.1399403172608764</v>
      </c>
      <c r="M64" s="8">
        <f>$B57*(($H59+J62)/($H59+J62+$E59))</f>
        <v>2.1788630653266332</v>
      </c>
      <c r="N64" s="6">
        <f>$B57*(($H58+N62)/($H58+N62+$E58))</f>
        <v>2.3811429486153353</v>
      </c>
      <c r="O64" s="7">
        <f>$B57*(($H59+N62)/($H59+N62+$E58))</f>
        <v>2.4207746478873235</v>
      </c>
      <c r="P64" s="7">
        <f>$B57*(($H58+N62)/($H58+N62+$E59))</f>
        <v>2.3344318895166354</v>
      </c>
      <c r="Q64" s="8">
        <f>$B57*(($H59+N62)/($H59+N62+$E59))</f>
        <v>2.3732935823003292</v>
      </c>
      <c r="R64" s="6">
        <f>$B57*(($H58+R62)/($H58+R62+$E58))</f>
        <v>2.4801984158732697</v>
      </c>
      <c r="S64" s="7">
        <f>$B57*(($H59+R62)/($H59+R62+$E58))</f>
        <v>2.5197984161267097</v>
      </c>
      <c r="T64" s="7">
        <f>$B57*(($H58+R62)/($H58+R62+$E59))</f>
        <v>2.4315632598635184</v>
      </c>
      <c r="U64" s="8">
        <f>$B57*(($H59+R62)/($H59+R62+$E59))</f>
        <v>2.470394478864403</v>
      </c>
    </row>
    <row r="73" spans="1:21">
      <c r="A73" t="s">
        <v>18</v>
      </c>
      <c r="B73" t="s">
        <v>33</v>
      </c>
    </row>
    <row r="74" spans="1:21">
      <c r="A74" t="s">
        <v>20</v>
      </c>
      <c r="B74">
        <v>50</v>
      </c>
      <c r="D74" t="s">
        <v>3</v>
      </c>
      <c r="E74">
        <v>2490000</v>
      </c>
      <c r="G74" t="s">
        <v>4</v>
      </c>
      <c r="H74">
        <f>E74*B76</f>
        <v>99600</v>
      </c>
    </row>
    <row r="75" spans="1:21">
      <c r="A75" t="s">
        <v>21</v>
      </c>
      <c r="B75">
        <v>2</v>
      </c>
      <c r="D75" t="s">
        <v>22</v>
      </c>
      <c r="E75">
        <f>E74*0.99</f>
        <v>2465100</v>
      </c>
      <c r="G75" t="s">
        <v>23</v>
      </c>
      <c r="H75">
        <f>H74*0.99</f>
        <v>98604</v>
      </c>
    </row>
    <row r="76" spans="1:21">
      <c r="A76" t="s">
        <v>24</v>
      </c>
      <c r="B76">
        <f>B75/B74</f>
        <v>0.04</v>
      </c>
      <c r="D76" t="s">
        <v>25</v>
      </c>
      <c r="E76">
        <f>E74*1.01</f>
        <v>2514900</v>
      </c>
      <c r="G76" t="s">
        <v>26</v>
      </c>
      <c r="H76">
        <f>H74*1.01</f>
        <v>100596</v>
      </c>
    </row>
    <row r="78" spans="1:21" ht="15.75" thickBot="1"/>
    <row r="79" spans="1:21">
      <c r="A79" t="s">
        <v>27</v>
      </c>
      <c r="B79" s="16">
        <v>0</v>
      </c>
      <c r="C79" s="17"/>
      <c r="D79" s="17"/>
      <c r="E79" s="18"/>
      <c r="F79" s="16">
        <v>500</v>
      </c>
      <c r="G79" s="17"/>
      <c r="H79" s="17"/>
      <c r="I79" s="18"/>
      <c r="J79" s="16">
        <v>1000</v>
      </c>
      <c r="K79" s="17"/>
      <c r="L79" s="17"/>
      <c r="M79" s="18"/>
      <c r="N79" s="16">
        <v>2000</v>
      </c>
      <c r="O79" s="17"/>
      <c r="P79" s="17"/>
      <c r="Q79" s="18"/>
      <c r="R79" s="16">
        <v>2500</v>
      </c>
      <c r="S79" s="17"/>
      <c r="T79" s="17"/>
      <c r="U79" s="18"/>
    </row>
    <row r="80" spans="1:21">
      <c r="B80" s="3" t="s">
        <v>28</v>
      </c>
      <c r="C80" s="4" t="s">
        <v>29</v>
      </c>
      <c r="D80" s="4" t="s">
        <v>30</v>
      </c>
      <c r="E80" s="5" t="s">
        <v>31</v>
      </c>
      <c r="F80" s="3" t="s">
        <v>28</v>
      </c>
      <c r="G80" s="4" t="s">
        <v>29</v>
      </c>
      <c r="H80" s="4" t="s">
        <v>30</v>
      </c>
      <c r="I80" s="5" t="s">
        <v>31</v>
      </c>
      <c r="J80" s="3" t="s">
        <v>28</v>
      </c>
      <c r="K80" s="4" t="s">
        <v>29</v>
      </c>
      <c r="L80" s="4" t="s">
        <v>30</v>
      </c>
      <c r="M80" s="5" t="s">
        <v>31</v>
      </c>
      <c r="N80" s="3" t="s">
        <v>28</v>
      </c>
      <c r="O80" s="4" t="s">
        <v>29</v>
      </c>
      <c r="P80" s="4" t="s">
        <v>30</v>
      </c>
      <c r="Q80" s="5" t="s">
        <v>31</v>
      </c>
      <c r="R80" s="3" t="s">
        <v>28</v>
      </c>
      <c r="S80" s="4" t="s">
        <v>29</v>
      </c>
      <c r="T80" s="4" t="s">
        <v>30</v>
      </c>
      <c r="U80" s="5" t="s">
        <v>31</v>
      </c>
    </row>
    <row r="81" spans="1:21" ht="15.75" thickBot="1">
      <c r="A81" t="s">
        <v>32</v>
      </c>
      <c r="B81" s="6">
        <f>$B74*(($H75+B79)/($H75+B79+$E75))</f>
        <v>1.9230769230769231</v>
      </c>
      <c r="C81" s="7">
        <f>$B74*(($H76+B79)/($H76+B79+$E75))</f>
        <v>1.9604037267080745</v>
      </c>
      <c r="D81" s="7">
        <f>$B74*(($H75+B79)/($H75+B79+$E76))</f>
        <v>1.8864329268292683</v>
      </c>
      <c r="E81" s="8">
        <f>$B74*(($H76+B79)/($H76+B79+$E76))</f>
        <v>1.9230769230769231</v>
      </c>
      <c r="F81" s="6">
        <f>$B74*(($H75+F79)/($H75+F79+$E75))</f>
        <v>1.9324515522165944</v>
      </c>
      <c r="G81" s="7">
        <f>$B74*(($H76+F79)/($H76+F79+$E75))</f>
        <v>1.9697638060381981</v>
      </c>
      <c r="H81" s="7">
        <f>$B74*(($H75+F79)/($H75+F79+$E76))</f>
        <v>1.8956359668921703</v>
      </c>
      <c r="I81" s="8">
        <f>$B74*(($H76+F79)/($H76+F79+$E76))</f>
        <v>1.93226595147699</v>
      </c>
      <c r="J81" s="6">
        <f>$B74*(($H75+J79)/($H75+J79+$E75))</f>
        <v>1.941822526108276</v>
      </c>
      <c r="K81" s="7">
        <f>$B74*(($H76+J79)/($H76+J79+$E75))</f>
        <v>1.9791202386258442</v>
      </c>
      <c r="L81" s="7">
        <f>$B74*(($H75+J79)/($H75+J79+$E76))</f>
        <v>1.9048354869604329</v>
      </c>
      <c r="M81" s="8">
        <f>$B74*(($H76+J79)/($H76+J79+$E76))</f>
        <v>1.9414514679173978</v>
      </c>
      <c r="N81" s="6">
        <f>$B74*(($H75+N79)/($H75+N79+$E75))</f>
        <v>1.9605535166956127</v>
      </c>
      <c r="O81" s="7">
        <f>$B74*(($H76+N79)/($H76+N79+$E75))</f>
        <v>1.997822172095139</v>
      </c>
      <c r="P81" s="7">
        <f>$B74*(($H75+N79)/($H75+N79+$E76))</f>
        <v>1.9232239751879561</v>
      </c>
      <c r="Q81" s="8">
        <f>$B74*(($H76+N79)/($H76+N79+$E76))</f>
        <v>1.9598119729695864</v>
      </c>
      <c r="R81" s="6">
        <f>$B74*(($H75+R79)/($H75+R79+$E75))</f>
        <v>1.9699135376610746</v>
      </c>
      <c r="S81" s="7">
        <f>$B74*(($H76+R79)/($H76+R79+$E75))</f>
        <v>2.0071676772333578</v>
      </c>
      <c r="T81" s="7">
        <f>$B74*(($H75+R79)/($H75+R79+$E76))</f>
        <v>1.9324129473808145</v>
      </c>
      <c r="U81" s="8">
        <f>$B74*(($H76+R79)/($H76+R79+$E76))</f>
        <v>1.9689869656026977</v>
      </c>
    </row>
    <row r="85" spans="1:21">
      <c r="A85" t="s">
        <v>18</v>
      </c>
      <c r="B85" t="s">
        <v>33</v>
      </c>
    </row>
    <row r="86" spans="1:21">
      <c r="A86" t="s">
        <v>20</v>
      </c>
      <c r="B86">
        <v>150</v>
      </c>
      <c r="D86" t="s">
        <v>3</v>
      </c>
      <c r="E86">
        <v>2490000</v>
      </c>
      <c r="G86" t="s">
        <v>4</v>
      </c>
      <c r="H86">
        <f>E86*B88</f>
        <v>33200</v>
      </c>
    </row>
    <row r="87" spans="1:21">
      <c r="A87" t="s">
        <v>21</v>
      </c>
      <c r="B87">
        <v>2</v>
      </c>
      <c r="D87" t="s">
        <v>22</v>
      </c>
      <c r="E87">
        <f>E86*0.99</f>
        <v>2465100</v>
      </c>
      <c r="G87" t="s">
        <v>23</v>
      </c>
      <c r="H87">
        <f>H86*0.99</f>
        <v>32868</v>
      </c>
    </row>
    <row r="88" spans="1:21">
      <c r="A88" t="s">
        <v>24</v>
      </c>
      <c r="B88">
        <f>B87/B86</f>
        <v>1.3333333333333334E-2</v>
      </c>
      <c r="D88" t="s">
        <v>25</v>
      </c>
      <c r="E88">
        <f>E86*1.01</f>
        <v>2514900</v>
      </c>
      <c r="G88" t="s">
        <v>26</v>
      </c>
      <c r="H88">
        <f>H86*1.01</f>
        <v>33532</v>
      </c>
    </row>
    <row r="90" spans="1:21" ht="15.75" thickBot="1"/>
    <row r="91" spans="1:21">
      <c r="A91" t="s">
        <v>27</v>
      </c>
      <c r="B91" s="16">
        <v>0</v>
      </c>
      <c r="C91" s="17"/>
      <c r="D91" s="17"/>
      <c r="E91" s="18"/>
      <c r="F91" s="16">
        <v>500</v>
      </c>
      <c r="G91" s="17"/>
      <c r="H91" s="17"/>
      <c r="I91" s="18"/>
      <c r="J91" s="16">
        <v>1000</v>
      </c>
      <c r="K91" s="17"/>
      <c r="L91" s="17"/>
      <c r="M91" s="18"/>
      <c r="N91" s="16">
        <v>2000</v>
      </c>
      <c r="O91" s="17"/>
      <c r="P91" s="17"/>
      <c r="Q91" s="18"/>
      <c r="R91" s="16">
        <v>2500</v>
      </c>
      <c r="S91" s="17"/>
      <c r="T91" s="17"/>
      <c r="U91" s="18"/>
    </row>
    <row r="92" spans="1:21">
      <c r="B92" s="3" t="s">
        <v>28</v>
      </c>
      <c r="C92" s="4" t="s">
        <v>29</v>
      </c>
      <c r="D92" s="4" t="s">
        <v>30</v>
      </c>
      <c r="E92" s="5" t="s">
        <v>31</v>
      </c>
      <c r="F92" s="3" t="s">
        <v>28</v>
      </c>
      <c r="G92" s="4" t="s">
        <v>29</v>
      </c>
      <c r="H92" s="4" t="s">
        <v>30</v>
      </c>
      <c r="I92" s="5" t="s">
        <v>31</v>
      </c>
      <c r="J92" s="3" t="s">
        <v>28</v>
      </c>
      <c r="K92" s="4" t="s">
        <v>29</v>
      </c>
      <c r="L92" s="4" t="s">
        <v>30</v>
      </c>
      <c r="M92" s="5" t="s">
        <v>31</v>
      </c>
      <c r="N92" s="3" t="s">
        <v>28</v>
      </c>
      <c r="O92" s="4" t="s">
        <v>29</v>
      </c>
      <c r="P92" s="4" t="s">
        <v>30</v>
      </c>
      <c r="Q92" s="5" t="s">
        <v>31</v>
      </c>
      <c r="R92" s="3" t="s">
        <v>28</v>
      </c>
      <c r="S92" s="4" t="s">
        <v>29</v>
      </c>
      <c r="T92" s="4" t="s">
        <v>30</v>
      </c>
      <c r="U92" s="5" t="s">
        <v>31</v>
      </c>
    </row>
    <row r="93" spans="1:21" ht="15.75" thickBot="1">
      <c r="A93" t="s">
        <v>32</v>
      </c>
      <c r="B93" s="6">
        <f>$B86*(($H87+B91)/($H87+B91+$E87))</f>
        <v>1.9736842105263157</v>
      </c>
      <c r="C93" s="7">
        <f>$B86*(($H88+B91)/($H88+B91+$E87))</f>
        <v>2.0130215253786874</v>
      </c>
      <c r="D93" s="7">
        <f>$B86*(($H87+B91)/($H87+B91+$E88))</f>
        <v>1.9351055512118844</v>
      </c>
      <c r="E93" s="8">
        <f>$B86*(($H88+B91)/($H88+B91+$E88))</f>
        <v>1.9736842105263157</v>
      </c>
      <c r="F93" s="6">
        <f>$B86*(($H87+F91)/($H87+F91+$E87))</f>
        <v>2.0033076269137728</v>
      </c>
      <c r="G93" s="7">
        <f>$B86*(($H88+F91)/($H88+F91+$E87))</f>
        <v>2.0426292008585381</v>
      </c>
      <c r="H93" s="7">
        <f>$B86*(($H87+F91)/($H87+F91+$E88))</f>
        <v>1.9641576160749183</v>
      </c>
      <c r="I93" s="8">
        <f>$B86*(($H88+F91)/($H88+F91+$E88))</f>
        <v>2.0027211396773237</v>
      </c>
      <c r="J93" s="6">
        <f>$B86*(($H87+J91)/($H87+J91+$E87))</f>
        <v>2.0329191890412361</v>
      </c>
      <c r="K93" s="7">
        <f>$B86*(($H88+J91)/($H88+J91+$E87))</f>
        <v>2.0722250315246407</v>
      </c>
      <c r="L93" s="7">
        <f>$B86*(($H87+J91)/($H87+J91+$E88))</f>
        <v>1.9931982824643122</v>
      </c>
      <c r="M93" s="8">
        <f>$B86*(($H88+J91)/($H88+J91+$E88))</f>
        <v>2.0317466792603214</v>
      </c>
      <c r="N93" s="6">
        <f>$B86*(($H87+N91)/($H87+N91+$E87))</f>
        <v>2.0921067789667709</v>
      </c>
      <c r="O93" s="7">
        <f>$B86*(($H88+N91)/($H88+N91+$E87))</f>
        <v>2.1313811868359678</v>
      </c>
      <c r="P93" s="7">
        <f>$B86*(($H87+N91)/($H87+N91+$E88))</f>
        <v>2.0512454466445575</v>
      </c>
      <c r="Q93" s="8">
        <f>$B86*(($H88+N91)/($H88+N91+$E88))</f>
        <v>2.0897636165167315</v>
      </c>
      <c r="R93" s="6">
        <f>$B86*(($H87+R91)/($H87+R91+$E87))</f>
        <v>2.1216828209759133</v>
      </c>
      <c r="S93" s="7">
        <f>$B86*(($H88+R91)/($H88+R91+$E87))</f>
        <v>2.1609415256771736</v>
      </c>
      <c r="T93" s="7">
        <f>$B86*(($H87+R91)/($H87+R91+$E88))</f>
        <v>2.0802519578334513</v>
      </c>
      <c r="U93" s="8">
        <f>$B86*(($H88+R91)/($H88+R91+$E88))</f>
        <v>2.1187550275742355</v>
      </c>
    </row>
    <row r="97" spans="1:21">
      <c r="A97" t="s">
        <v>18</v>
      </c>
      <c r="B97" t="s">
        <v>33</v>
      </c>
    </row>
    <row r="98" spans="1:21">
      <c r="A98" t="s">
        <v>20</v>
      </c>
      <c r="B98">
        <v>500</v>
      </c>
      <c r="D98" t="s">
        <v>3</v>
      </c>
      <c r="E98">
        <v>2490000</v>
      </c>
      <c r="G98" t="s">
        <v>4</v>
      </c>
      <c r="H98">
        <f>E98*B100</f>
        <v>9960</v>
      </c>
    </row>
    <row r="99" spans="1:21">
      <c r="A99" t="s">
        <v>21</v>
      </c>
      <c r="B99">
        <v>2</v>
      </c>
      <c r="D99" t="s">
        <v>22</v>
      </c>
      <c r="E99">
        <f>E98*0.99</f>
        <v>2465100</v>
      </c>
      <c r="G99" t="s">
        <v>23</v>
      </c>
      <c r="H99">
        <f>H98*0.99</f>
        <v>9860.4</v>
      </c>
    </row>
    <row r="100" spans="1:21">
      <c r="A100" t="s">
        <v>24</v>
      </c>
      <c r="B100">
        <f>B99/B98</f>
        <v>4.0000000000000001E-3</v>
      </c>
      <c r="D100" t="s">
        <v>25</v>
      </c>
      <c r="E100">
        <f>E98*1.01</f>
        <v>2514900</v>
      </c>
      <c r="G100" t="s">
        <v>26</v>
      </c>
      <c r="H100">
        <f>H98*1.01</f>
        <v>10059.6</v>
      </c>
    </row>
    <row r="102" spans="1:21" ht="15.75" thickBot="1"/>
    <row r="103" spans="1:21">
      <c r="A103" t="s">
        <v>27</v>
      </c>
      <c r="B103" s="16">
        <v>0</v>
      </c>
      <c r="C103" s="17"/>
      <c r="D103" s="17"/>
      <c r="E103" s="18"/>
      <c r="F103" s="16">
        <v>500</v>
      </c>
      <c r="G103" s="17"/>
      <c r="H103" s="17"/>
      <c r="I103" s="18"/>
      <c r="J103" s="16">
        <v>1000</v>
      </c>
      <c r="K103" s="17"/>
      <c r="L103" s="17"/>
      <c r="M103" s="18"/>
      <c r="N103" s="16">
        <v>2000</v>
      </c>
      <c r="O103" s="17"/>
      <c r="P103" s="17"/>
      <c r="Q103" s="18"/>
      <c r="R103" s="16">
        <v>2500</v>
      </c>
      <c r="S103" s="17"/>
      <c r="T103" s="17"/>
      <c r="U103" s="18"/>
    </row>
    <row r="104" spans="1:21">
      <c r="B104" s="3" t="s">
        <v>28</v>
      </c>
      <c r="C104" s="4" t="s">
        <v>29</v>
      </c>
      <c r="D104" s="4" t="s">
        <v>30</v>
      </c>
      <c r="E104" s="5" t="s">
        <v>31</v>
      </c>
      <c r="F104" s="3" t="s">
        <v>28</v>
      </c>
      <c r="G104" s="4" t="s">
        <v>29</v>
      </c>
      <c r="H104" s="4" t="s">
        <v>30</v>
      </c>
      <c r="I104" s="5" t="s">
        <v>31</v>
      </c>
      <c r="J104" s="3" t="s">
        <v>28</v>
      </c>
      <c r="K104" s="4" t="s">
        <v>29</v>
      </c>
      <c r="L104" s="4" t="s">
        <v>30</v>
      </c>
      <c r="M104" s="5" t="s">
        <v>31</v>
      </c>
      <c r="N104" s="3" t="s">
        <v>28</v>
      </c>
      <c r="O104" s="4" t="s">
        <v>29</v>
      </c>
      <c r="P104" s="4" t="s">
        <v>30</v>
      </c>
      <c r="Q104" s="5" t="s">
        <v>31</v>
      </c>
      <c r="R104" s="3" t="s">
        <v>28</v>
      </c>
      <c r="S104" s="4" t="s">
        <v>29</v>
      </c>
      <c r="T104" s="4" t="s">
        <v>30</v>
      </c>
      <c r="U104" s="5" t="s">
        <v>31</v>
      </c>
    </row>
    <row r="105" spans="1:21" ht="15.75" thickBot="1">
      <c r="A105" t="s">
        <v>32</v>
      </c>
      <c r="B105" s="6">
        <f>$B98*(($H99+B103)/($H99+B103+$E99))</f>
        <v>1.9920318725099602</v>
      </c>
      <c r="C105" s="7">
        <f>$B98*(($H100+B103)/($H100+B103+$E99))</f>
        <v>2.0321113838477323</v>
      </c>
      <c r="D105" s="7">
        <f>$B98*(($H99+B103)/($H99+B103+$E100))</f>
        <v>1.9527397530474575</v>
      </c>
      <c r="E105" s="8">
        <f>$B98*(($H100+B103)/($H100+B103+$E100))</f>
        <v>1.9920318725099602</v>
      </c>
      <c r="F105" s="6">
        <f>$B98*(($H99+F103)/($H99+F103+$E99))</f>
        <v>2.0926208312603185</v>
      </c>
      <c r="G105" s="7">
        <f>$B98*(($H100+F103)/($H100+F103+$E99))</f>
        <v>2.1326841541543109</v>
      </c>
      <c r="H105" s="7">
        <f>$B98*(($H99+F103)/($H99+F103+$E100))</f>
        <v>2.0513528030614188</v>
      </c>
      <c r="I105" s="8">
        <f>$B98*(($H100+F103)/($H100+F103+$E100))</f>
        <v>2.0906293650470591</v>
      </c>
      <c r="J105" s="6">
        <f>$B98*(($H99+J103)/($H99+J103+$E99))</f>
        <v>2.193169163771763</v>
      </c>
      <c r="K105" s="7">
        <f>$B98*(($H100+J103)/($H100+J103+$E99))</f>
        <v>2.2332163080279641</v>
      </c>
      <c r="L105" s="7">
        <f>$B98*(($H99+J103)/($H99+J103+$E100))</f>
        <v>2.1499268101598239</v>
      </c>
      <c r="M105" s="8">
        <f>$B98*(($H100+J103)/($H100+J103+$E100))</f>
        <v>2.1891878239066056</v>
      </c>
      <c r="N105" s="6">
        <f>$B98*(($H99+N103)/($H99+N103+$E99))</f>
        <v>2.3941440484878163</v>
      </c>
      <c r="O105" s="7">
        <f>$B98*(($H100+N103)/($H100+N103+$E99))</f>
        <v>2.4341588648547314</v>
      </c>
      <c r="P105" s="7">
        <f>$B98*(($H99+N103)/($H99+N103+$E100))</f>
        <v>2.3469577883205703</v>
      </c>
      <c r="Q105" s="8">
        <f>$B98*(($H100+N103)/($H100+N103+$E100))</f>
        <v>2.3861877332744061</v>
      </c>
      <c r="R105" s="6">
        <f>$B98*(($H99+R103)/($H99+R103+$E99))</f>
        <v>2.4945706498477231</v>
      </c>
      <c r="S105" s="7">
        <f>$B98*(($H100+R103)/($H100+R103+$E99))</f>
        <v>2.5345693169473322</v>
      </c>
      <c r="T105" s="7">
        <f>$B98*(($H99+R103)/($H99+R103+$E100))</f>
        <v>2.4454148056923617</v>
      </c>
      <c r="U105" s="8">
        <f>$B98*(($H100+R103)/($H100+R103+$E100))</f>
        <v>2.4846292300775055</v>
      </c>
    </row>
    <row r="110" spans="1:21">
      <c r="A110" t="s">
        <v>34</v>
      </c>
    </row>
    <row r="112" spans="1:21">
      <c r="A112" t="s">
        <v>18</v>
      </c>
      <c r="B112" t="s">
        <v>33</v>
      </c>
    </row>
    <row r="113" spans="1:21">
      <c r="A113" t="s">
        <v>20</v>
      </c>
      <c r="B113">
        <v>465</v>
      </c>
      <c r="C113">
        <f>C114/B115</f>
        <v>112.72727272727272</v>
      </c>
      <c r="D113" t="s">
        <v>3</v>
      </c>
      <c r="E113">
        <f>H113/B115</f>
        <v>140909.09090909091</v>
      </c>
      <c r="G113" t="s">
        <v>4</v>
      </c>
      <c r="H113">
        <v>10000</v>
      </c>
    </row>
    <row r="114" spans="1:21">
      <c r="A114" t="s">
        <v>21</v>
      </c>
      <c r="B114">
        <v>33</v>
      </c>
      <c r="C114">
        <v>8</v>
      </c>
      <c r="D114" t="s">
        <v>22</v>
      </c>
      <c r="E114">
        <f>E113*0.99</f>
        <v>139500</v>
      </c>
      <c r="G114" t="s">
        <v>23</v>
      </c>
      <c r="H114">
        <f>H113*0.99</f>
        <v>9900</v>
      </c>
    </row>
    <row r="115" spans="1:21">
      <c r="A115" t="s">
        <v>24</v>
      </c>
      <c r="B115">
        <f>B114/B113</f>
        <v>7.0967741935483872E-2</v>
      </c>
      <c r="D115" t="s">
        <v>25</v>
      </c>
      <c r="E115">
        <f>E113*1.01</f>
        <v>142318.18181818182</v>
      </c>
      <c r="G115" t="s">
        <v>26</v>
      </c>
      <c r="H115">
        <f>H113*1.01</f>
        <v>10100</v>
      </c>
    </row>
    <row r="117" spans="1:21" ht="15.75" thickBot="1"/>
    <row r="118" spans="1:21">
      <c r="A118" t="s">
        <v>27</v>
      </c>
      <c r="B118" s="16">
        <v>0</v>
      </c>
      <c r="C118" s="17"/>
      <c r="D118" s="17"/>
      <c r="E118" s="18"/>
      <c r="F118" s="16">
        <v>500</v>
      </c>
      <c r="G118" s="17"/>
      <c r="H118" s="17"/>
      <c r="I118" s="18"/>
      <c r="J118" s="16">
        <v>1000</v>
      </c>
      <c r="K118" s="17"/>
      <c r="L118" s="17"/>
      <c r="M118" s="18"/>
      <c r="N118" s="16">
        <v>2000</v>
      </c>
      <c r="O118" s="17"/>
      <c r="P118" s="17"/>
      <c r="Q118" s="18"/>
      <c r="R118" s="16">
        <v>2500</v>
      </c>
      <c r="S118" s="17"/>
      <c r="T118" s="17"/>
      <c r="U118" s="18"/>
    </row>
    <row r="119" spans="1:21">
      <c r="B119" s="3" t="s">
        <v>28</v>
      </c>
      <c r="C119" s="4" t="s">
        <v>29</v>
      </c>
      <c r="D119" s="4" t="s">
        <v>30</v>
      </c>
      <c r="E119" s="5" t="s">
        <v>35</v>
      </c>
      <c r="F119" s="3" t="s">
        <v>28</v>
      </c>
      <c r="G119" s="4" t="s">
        <v>29</v>
      </c>
      <c r="H119" s="4" t="s">
        <v>30</v>
      </c>
      <c r="I119" s="5" t="s">
        <v>31</v>
      </c>
      <c r="J119" s="3" t="s">
        <v>28</v>
      </c>
      <c r="K119" s="4" t="s">
        <v>29</v>
      </c>
      <c r="L119" s="4" t="s">
        <v>30</v>
      </c>
      <c r="M119" s="5" t="s">
        <v>31</v>
      </c>
      <c r="N119" s="3" t="s">
        <v>28</v>
      </c>
      <c r="O119" s="4" t="s">
        <v>29</v>
      </c>
      <c r="P119" s="4" t="s">
        <v>30</v>
      </c>
      <c r="Q119" s="5" t="s">
        <v>31</v>
      </c>
      <c r="R119" s="3" t="s">
        <v>28</v>
      </c>
      <c r="S119" s="4" t="s">
        <v>29</v>
      </c>
      <c r="T119" s="4" t="s">
        <v>30</v>
      </c>
      <c r="U119" s="5" t="s">
        <v>31</v>
      </c>
    </row>
    <row r="120" spans="1:21" ht="15.75" thickBot="1">
      <c r="A120" t="s">
        <v>32</v>
      </c>
      <c r="B120" s="6">
        <f>$B113*(($H114)/($H114+B118+$E114))</f>
        <v>30.813253012048197</v>
      </c>
      <c r="C120" s="7">
        <f>$B113*(($H115)/($H115+B118+$E114))</f>
        <v>31.393716577540111</v>
      </c>
      <c r="D120" s="7">
        <f>$B113*(($H114)/($H114+B118+$E115))</f>
        <v>30.242773530817011</v>
      </c>
      <c r="E120" s="8">
        <f>$B113*(($H115)/($H115+B118+$E115))</f>
        <v>30.81325301204819</v>
      </c>
      <c r="F120" s="6">
        <f>$B113*(($H114)/($H114+F118+$E114))</f>
        <v>30.710473649099399</v>
      </c>
      <c r="G120" s="7">
        <f>$B113*(($H115)/($H115+F118+$E114))</f>
        <v>31.289140572951364</v>
      </c>
      <c r="H120" s="7">
        <f>$B113*(($H114)/($H114+F118+$E115))</f>
        <v>30.143758557056966</v>
      </c>
      <c r="I120" s="8">
        <f>$B113*(($H115)/($H115+F118+$E115))</f>
        <v>30.712502229356161</v>
      </c>
      <c r="J120" s="6">
        <f>$B113*(($H114)/($H114+J118+$E114))</f>
        <v>30.608377659574465</v>
      </c>
      <c r="K120" s="7">
        <f>$B113*(($H115)/($H115+J118+$E114))</f>
        <v>31.185258964143426</v>
      </c>
      <c r="L120" s="7">
        <f>$B113*(($H114)/($H114+J118+$E115))</f>
        <v>30.045389818440722</v>
      </c>
      <c r="M120" s="8">
        <f>$B113*(($H115)/($H115+J118+$E115))</f>
        <v>30.612408153590902</v>
      </c>
      <c r="N120" s="6">
        <f>$B113*(($H114)/($H114+N118+$E114))</f>
        <v>30.406208718626154</v>
      </c>
      <c r="O120" s="7">
        <f>$B113*(($H115)/($H115+N118+$E114))</f>
        <v>30.979551451187334</v>
      </c>
      <c r="P120" s="7">
        <f>$B113*(($H114)/($H114+N118+$E115))</f>
        <v>29.85056590426786</v>
      </c>
      <c r="Q120" s="8">
        <f>$B113*(($H115)/($H115+N118+$E115))</f>
        <v>30.414164606146237</v>
      </c>
      <c r="R120" s="6">
        <f>$B113*(($H114)/($H114+R118+$E114))</f>
        <v>30.30612244897959</v>
      </c>
      <c r="S120" s="7">
        <f>$B113*(($H115)/($H115+R118+$E114))</f>
        <v>30.877712031558183</v>
      </c>
      <c r="T120" s="7">
        <f>$B113*(($H114)/($H114+R118+$E115))</f>
        <v>29.754098360655739</v>
      </c>
      <c r="U120" s="8">
        <f>$B113*(($H115)/($H115+R118+$E115))</f>
        <v>30.316002582008096</v>
      </c>
    </row>
    <row r="124" spans="1:21">
      <c r="A124" t="s">
        <v>34</v>
      </c>
    </row>
    <row r="126" spans="1:21">
      <c r="A126" t="s">
        <v>18</v>
      </c>
      <c r="B126" t="s">
        <v>33</v>
      </c>
    </row>
    <row r="127" spans="1:21">
      <c r="A127" t="s">
        <v>20</v>
      </c>
      <c r="B127">
        <v>120</v>
      </c>
      <c r="C127">
        <f>C128/B129</f>
        <v>27.428571428571427</v>
      </c>
      <c r="D127" t="s">
        <v>3</v>
      </c>
      <c r="E127">
        <f>H127/B129</f>
        <v>34285.714285714283</v>
      </c>
      <c r="G127" t="s">
        <v>4</v>
      </c>
      <c r="H127">
        <v>10000</v>
      </c>
    </row>
    <row r="128" spans="1:21">
      <c r="A128" t="s">
        <v>21</v>
      </c>
      <c r="B128">
        <v>35</v>
      </c>
      <c r="C128">
        <v>8</v>
      </c>
      <c r="D128" t="s">
        <v>22</v>
      </c>
      <c r="E128">
        <f>E127*0.99</f>
        <v>33942.857142857138</v>
      </c>
      <c r="G128" t="s">
        <v>23</v>
      </c>
      <c r="H128">
        <f>H127*0.99</f>
        <v>9900</v>
      </c>
    </row>
    <row r="129" spans="1:21">
      <c r="A129" t="s">
        <v>24</v>
      </c>
      <c r="B129">
        <f>B128/B127</f>
        <v>0.29166666666666669</v>
      </c>
      <c r="D129" t="s">
        <v>25</v>
      </c>
      <c r="E129">
        <f>E127*1.01</f>
        <v>34628.571428571428</v>
      </c>
      <c r="G129" t="s">
        <v>26</v>
      </c>
      <c r="H129">
        <f>H127*1.01</f>
        <v>10100</v>
      </c>
    </row>
    <row r="131" spans="1:21" ht="15.75" thickBot="1"/>
    <row r="132" spans="1:21">
      <c r="A132" t="s">
        <v>27</v>
      </c>
      <c r="B132" s="16">
        <v>0</v>
      </c>
      <c r="C132" s="17"/>
      <c r="D132" s="17"/>
      <c r="E132" s="18"/>
      <c r="F132" s="16">
        <v>500</v>
      </c>
      <c r="G132" s="17"/>
      <c r="H132" s="17"/>
      <c r="I132" s="18"/>
      <c r="J132" s="16">
        <v>1000</v>
      </c>
      <c r="K132" s="17"/>
      <c r="L132" s="17"/>
      <c r="M132" s="18"/>
      <c r="N132" s="16">
        <v>2000</v>
      </c>
      <c r="O132" s="17"/>
      <c r="P132" s="17"/>
      <c r="Q132" s="18"/>
      <c r="R132" s="16">
        <v>2500</v>
      </c>
      <c r="S132" s="17"/>
      <c r="T132" s="17"/>
      <c r="U132" s="18"/>
    </row>
    <row r="133" spans="1:21">
      <c r="B133" s="3" t="s">
        <v>28</v>
      </c>
      <c r="C133" s="4" t="s">
        <v>29</v>
      </c>
      <c r="D133" s="4" t="s">
        <v>30</v>
      </c>
      <c r="E133" s="5" t="s">
        <v>31</v>
      </c>
      <c r="F133" s="3" t="s">
        <v>28</v>
      </c>
      <c r="G133" s="4" t="s">
        <v>29</v>
      </c>
      <c r="H133" s="4" t="s">
        <v>30</v>
      </c>
      <c r="I133" s="5" t="s">
        <v>31</v>
      </c>
      <c r="J133" s="3" t="s">
        <v>28</v>
      </c>
      <c r="K133" s="4" t="s">
        <v>29</v>
      </c>
      <c r="L133" s="4" t="s">
        <v>30</v>
      </c>
      <c r="M133" s="5" t="s">
        <v>31</v>
      </c>
      <c r="N133" s="3" t="s">
        <v>28</v>
      </c>
      <c r="O133" s="4" t="s">
        <v>29</v>
      </c>
      <c r="P133" s="4" t="s">
        <v>30</v>
      </c>
      <c r="Q133" s="5" t="s">
        <v>31</v>
      </c>
      <c r="R133" s="3" t="s">
        <v>28</v>
      </c>
      <c r="S133" s="4" t="s">
        <v>29</v>
      </c>
      <c r="T133" s="4" t="s">
        <v>30</v>
      </c>
      <c r="U133" s="5" t="s">
        <v>31</v>
      </c>
    </row>
    <row r="134" spans="1:21" ht="15.75" thickBot="1">
      <c r="A134" t="s">
        <v>32</v>
      </c>
      <c r="B134" s="6">
        <f>$B127*(($H128)/($H128+B132+$E128))</f>
        <v>27.096774193548391</v>
      </c>
      <c r="C134" s="7">
        <f>$B127*(($H129+B132)/($H129+B132+$E128))</f>
        <v>27.518650664936754</v>
      </c>
      <c r="D134" s="7">
        <f>$B127*(($H128+B132)/($H128+B132+$E129))</f>
        <v>26.679499518768047</v>
      </c>
      <c r="E134" s="8">
        <f>$B127*(($H129+B132)/($H129+B132+$E129))</f>
        <v>27.096774193548388</v>
      </c>
      <c r="F134" s="6">
        <f>$B127*(($H128+F132)/($H128+F132+$E128))</f>
        <v>28.14432989690722</v>
      </c>
      <c r="G134" s="7">
        <f>$B127*(($H129+F132)/($H129+F132+$E128))</f>
        <v>28.556767158434898</v>
      </c>
      <c r="H134" s="7">
        <f>$B127*(($H128+F132)/($H128+F132+$E129))</f>
        <v>27.715736040609137</v>
      </c>
      <c r="I134" s="8">
        <f>$B127*(($H129+F132)/($H129+F132+$E129))</f>
        <v>28.123815540113707</v>
      </c>
      <c r="J134" s="6">
        <f>$B127*(($H128+J132)/($H128+J132+$E128))</f>
        <v>29.168525007964323</v>
      </c>
      <c r="K134" s="7">
        <f>$B127*(($H129+J132)/($H129+J132+$E128))</f>
        <v>29.571836346336827</v>
      </c>
      <c r="L134" s="7">
        <f>$B127*(($H128+J132)/($H128+J132+$E129))</f>
        <v>28.729212425478508</v>
      </c>
      <c r="M134" s="8">
        <f>$B127*(($H129+J132)/($H129+J132+$E129))</f>
        <v>29.128397375820054</v>
      </c>
      <c r="N134" s="6">
        <f>$B127*(($H128+N132)/($H128+N132+$E128))</f>
        <v>31.149890931754445</v>
      </c>
      <c r="O134" s="7">
        <f>$B127*(($H129+N132)/($H129+N132+$E128))</f>
        <v>31.535836177474405</v>
      </c>
      <c r="P134" s="7">
        <f>$B127*(($H128+N132)/($H128+N132+$E129))</f>
        <v>30.690819772797056</v>
      </c>
      <c r="Q134" s="8">
        <f>$B127*(($H129+N132)/($H129+N132+$E129))</f>
        <v>31.073066340568634</v>
      </c>
      <c r="R134" s="6">
        <f>$B127*(($H128+R132)/($H128+R132+$E128))</f>
        <v>32.108508014796548</v>
      </c>
      <c r="S134" s="7">
        <f>$B127*(($H129+R132)/($H129+R132+$E128))</f>
        <v>32.486187845303874</v>
      </c>
      <c r="T134" s="7">
        <f>$B127*(($H128+R132)/($H128+R132+$E129))</f>
        <v>31.64034021871203</v>
      </c>
      <c r="U134" s="8">
        <f>$B127*(($H129+R132)/($H129+R132+$E129))</f>
        <v>32.014519056261342</v>
      </c>
    </row>
    <row r="148" spans="1:7">
      <c r="B148" t="s">
        <v>36</v>
      </c>
    </row>
    <row r="150" spans="1:7">
      <c r="A150" t="s">
        <v>37</v>
      </c>
      <c r="B150">
        <v>10</v>
      </c>
      <c r="C150">
        <v>50</v>
      </c>
      <c r="D150">
        <v>100</v>
      </c>
      <c r="E150">
        <v>150</v>
      </c>
      <c r="F150">
        <v>250</v>
      </c>
      <c r="G150">
        <v>450</v>
      </c>
    </row>
    <row r="151" spans="1:7">
      <c r="A151" t="s">
        <v>38</v>
      </c>
    </row>
    <row r="152" spans="1:7">
      <c r="E152" t="s">
        <v>39</v>
      </c>
      <c r="F152" t="s">
        <v>39</v>
      </c>
      <c r="G152" t="s">
        <v>39</v>
      </c>
    </row>
    <row r="153" spans="1:7">
      <c r="A153" t="s">
        <v>40</v>
      </c>
      <c r="B153" s="19">
        <v>2490000</v>
      </c>
      <c r="C153" s="19"/>
      <c r="D153" s="19"/>
      <c r="E153" s="19"/>
      <c r="F153" s="19"/>
      <c r="G153" s="19"/>
    </row>
    <row r="154" spans="1:7">
      <c r="A154" t="s">
        <v>41</v>
      </c>
      <c r="B154" s="19">
        <v>10000</v>
      </c>
      <c r="C154" s="19"/>
      <c r="D154" s="19"/>
      <c r="E154" s="19"/>
      <c r="F154" s="19"/>
      <c r="G154" s="19"/>
    </row>
    <row r="155" spans="1:7">
      <c r="A155" t="s">
        <v>42</v>
      </c>
      <c r="B155" s="19">
        <v>100000</v>
      </c>
      <c r="C155" s="19"/>
      <c r="D155" s="19"/>
      <c r="E155" s="19"/>
      <c r="F155" s="19"/>
      <c r="G155" s="19"/>
    </row>
    <row r="156" spans="1:7">
      <c r="A156" t="s">
        <v>43</v>
      </c>
      <c r="B156" s="19">
        <f t="shared" ref="B156" si="10">$B$155*$B$154/($B$154+$B$155)</f>
        <v>9090.9090909090901</v>
      </c>
      <c r="C156" s="19"/>
      <c r="D156" s="19"/>
      <c r="E156" s="19"/>
      <c r="F156" s="19"/>
      <c r="G156" s="19"/>
    </row>
    <row r="158" spans="1:7">
      <c r="A158" t="s">
        <v>44</v>
      </c>
      <c r="B158">
        <f>B150*$B$155/($B$153+$B$155)</f>
        <v>0.38610038610038611</v>
      </c>
      <c r="C158">
        <f t="shared" ref="C158:G158" si="11">C150*$B$155/($B$153+$B$155)</f>
        <v>1.9305019305019304</v>
      </c>
      <c r="D158">
        <f t="shared" si="11"/>
        <v>3.8610038610038608</v>
      </c>
      <c r="E158">
        <f t="shared" si="11"/>
        <v>5.7915057915057915</v>
      </c>
      <c r="F158">
        <f t="shared" si="11"/>
        <v>9.6525096525096519</v>
      </c>
      <c r="G158">
        <f t="shared" si="11"/>
        <v>17.374517374517374</v>
      </c>
    </row>
    <row r="159" spans="1:7">
      <c r="A159" t="s">
        <v>45</v>
      </c>
      <c r="B159">
        <f>B150*$B$156/($B$156+$B$153)</f>
        <v>3.6376864314296105E-2</v>
      </c>
      <c r="C159">
        <f t="shared" ref="C159:G159" si="12">C150*$B$156/($B$156+$B$153)</f>
        <v>0.18188432157148052</v>
      </c>
      <c r="D159">
        <f t="shared" si="12"/>
        <v>0.36376864314296103</v>
      </c>
      <c r="E159">
        <f t="shared" si="12"/>
        <v>0.54565296471444158</v>
      </c>
      <c r="F159">
        <f t="shared" si="12"/>
        <v>0.90942160785740256</v>
      </c>
      <c r="G159">
        <f t="shared" si="12"/>
        <v>1.6369588941433246</v>
      </c>
    </row>
    <row r="161" spans="1:7">
      <c r="A161" t="s">
        <v>41</v>
      </c>
      <c r="C161" t="s">
        <v>39</v>
      </c>
      <c r="D161" t="s">
        <v>39</v>
      </c>
      <c r="E161" t="s">
        <v>39</v>
      </c>
      <c r="F161" t="e">
        <f>F150*F154/(F153+F154)</f>
        <v>#DIV/0!</v>
      </c>
    </row>
    <row r="162" spans="1:7">
      <c r="A162" t="s">
        <v>41</v>
      </c>
    </row>
    <row r="164" spans="1:7">
      <c r="A164" t="s">
        <v>40</v>
      </c>
      <c r="B164">
        <f>249000*5</f>
        <v>1245000</v>
      </c>
      <c r="C164">
        <f t="shared" ref="C164:F164" si="13">249000*5</f>
        <v>1245000</v>
      </c>
      <c r="D164">
        <f t="shared" si="13"/>
        <v>1245000</v>
      </c>
      <c r="E164">
        <f t="shared" si="13"/>
        <v>1245000</v>
      </c>
      <c r="F164">
        <f t="shared" si="13"/>
        <v>1245000</v>
      </c>
      <c r="G164">
        <f>249000*5</f>
        <v>1245000</v>
      </c>
    </row>
    <row r="165" spans="1:7">
      <c r="A165" t="s">
        <v>41</v>
      </c>
      <c r="B165">
        <v>10000</v>
      </c>
      <c r="C165">
        <v>10000</v>
      </c>
      <c r="D165">
        <v>10000</v>
      </c>
      <c r="E165">
        <v>10000</v>
      </c>
      <c r="F165">
        <v>10000</v>
      </c>
      <c r="G165">
        <v>10000</v>
      </c>
    </row>
    <row r="166" spans="1:7">
      <c r="A166" t="s">
        <v>46</v>
      </c>
      <c r="B166">
        <f>B165/(B164+B165)*B150</f>
        <v>7.9681274900398405E-2</v>
      </c>
      <c r="C166">
        <f t="shared" ref="C166:G166" si="14">C165/(C164+C165)*C150</f>
        <v>0.39840637450199201</v>
      </c>
      <c r="D166">
        <f t="shared" si="14"/>
        <v>0.79681274900398402</v>
      </c>
      <c r="E166">
        <f t="shared" si="14"/>
        <v>1.1952191235059761</v>
      </c>
      <c r="F166">
        <f t="shared" si="14"/>
        <v>1.9920318725099602</v>
      </c>
      <c r="G166">
        <f t="shared" si="14"/>
        <v>3.5856573705179282</v>
      </c>
    </row>
  </sheetData>
  <mergeCells count="44">
    <mergeCell ref="B153:G153"/>
    <mergeCell ref="B154:G154"/>
    <mergeCell ref="B155:G155"/>
    <mergeCell ref="B156:G156"/>
    <mergeCell ref="B118:E118"/>
    <mergeCell ref="F118:I118"/>
    <mergeCell ref="J118:M118"/>
    <mergeCell ref="N118:Q118"/>
    <mergeCell ref="R118:U118"/>
    <mergeCell ref="B132:E132"/>
    <mergeCell ref="F132:I132"/>
    <mergeCell ref="J132:M132"/>
    <mergeCell ref="N132:Q132"/>
    <mergeCell ref="R132:U132"/>
    <mergeCell ref="B91:E91"/>
    <mergeCell ref="F91:I91"/>
    <mergeCell ref="J91:M91"/>
    <mergeCell ref="N91:Q91"/>
    <mergeCell ref="R91:U91"/>
    <mergeCell ref="B103:E103"/>
    <mergeCell ref="F103:I103"/>
    <mergeCell ref="J103:M103"/>
    <mergeCell ref="N103:Q103"/>
    <mergeCell ref="R103:U103"/>
    <mergeCell ref="B62:E62"/>
    <mergeCell ref="F62:I62"/>
    <mergeCell ref="J62:M62"/>
    <mergeCell ref="N62:Q62"/>
    <mergeCell ref="R62:U62"/>
    <mergeCell ref="B79:E79"/>
    <mergeCell ref="F79:I79"/>
    <mergeCell ref="J79:M79"/>
    <mergeCell ref="N79:Q79"/>
    <mergeCell ref="R79:U79"/>
    <mergeCell ref="B38:E38"/>
    <mergeCell ref="F38:I38"/>
    <mergeCell ref="J38:M38"/>
    <mergeCell ref="N38:Q38"/>
    <mergeCell ref="R38:U38"/>
    <mergeCell ref="B50:E50"/>
    <mergeCell ref="F50:I50"/>
    <mergeCell ref="J50:M50"/>
    <mergeCell ref="N50:Q50"/>
    <mergeCell ref="R50:U5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A70D4-C2DD-4016-8941-48ED098FED48}">
  <dimension ref="A3:J18"/>
  <sheetViews>
    <sheetView tabSelected="1" workbookViewId="0">
      <selection activeCell="A3" sqref="A3:J18"/>
    </sheetView>
  </sheetViews>
  <sheetFormatPr defaultColWidth="11.42578125" defaultRowHeight="15"/>
  <cols>
    <col min="2" max="2" width="21.5703125" bestFit="1" customWidth="1"/>
    <col min="3" max="9" width="8.28515625" customWidth="1"/>
  </cols>
  <sheetData>
    <row r="3" spans="1:10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0" ht="18.75">
      <c r="A4" s="21"/>
      <c r="B4" s="22" t="s">
        <v>47</v>
      </c>
      <c r="C4" s="22"/>
      <c r="D4" s="22"/>
      <c r="E4" s="22"/>
      <c r="F4" s="22"/>
      <c r="G4" s="22"/>
      <c r="H4" s="22"/>
      <c r="I4" s="22"/>
      <c r="J4" s="21"/>
    </row>
    <row r="5" spans="1:10" ht="18.75">
      <c r="A5" s="21"/>
      <c r="B5" s="23"/>
      <c r="C5" s="23"/>
      <c r="D5" s="23"/>
      <c r="E5" s="23"/>
      <c r="F5" s="23"/>
      <c r="G5" s="23"/>
      <c r="H5" s="23"/>
      <c r="I5" s="23"/>
      <c r="J5" s="21"/>
    </row>
    <row r="6" spans="1:10" ht="18.75" customHeight="1">
      <c r="A6" s="21"/>
      <c r="B6" s="21"/>
      <c r="C6" s="24" t="s">
        <v>48</v>
      </c>
      <c r="D6" s="24"/>
      <c r="E6" s="24"/>
      <c r="F6" s="21"/>
      <c r="G6" s="24" t="s">
        <v>49</v>
      </c>
      <c r="H6" s="24"/>
      <c r="I6" s="24"/>
      <c r="J6" s="21"/>
    </row>
    <row r="7" spans="1:10">
      <c r="A7" s="21"/>
      <c r="B7" s="25" t="s">
        <v>50</v>
      </c>
      <c r="C7" s="26">
        <v>250</v>
      </c>
      <c r="D7" s="26">
        <v>150</v>
      </c>
      <c r="E7" s="26">
        <v>50</v>
      </c>
      <c r="F7" s="21"/>
      <c r="G7" s="26">
        <v>500</v>
      </c>
      <c r="H7" s="26">
        <v>150</v>
      </c>
      <c r="I7" s="26">
        <v>50</v>
      </c>
      <c r="J7" s="21"/>
    </row>
    <row r="8" spans="1:10">
      <c r="A8" s="21"/>
      <c r="B8" s="25" t="s">
        <v>51</v>
      </c>
      <c r="C8" s="26">
        <v>150</v>
      </c>
      <c r="D8" s="26">
        <v>50</v>
      </c>
      <c r="E8" s="26">
        <v>0</v>
      </c>
      <c r="F8" s="21"/>
      <c r="G8" s="26">
        <v>150</v>
      </c>
      <c r="H8" s="26">
        <v>50</v>
      </c>
      <c r="I8" s="26">
        <v>10</v>
      </c>
      <c r="J8" s="21"/>
    </row>
    <row r="9" spans="1:10">
      <c r="A9" s="21"/>
      <c r="B9" s="21"/>
      <c r="C9" s="21"/>
      <c r="D9" s="21"/>
      <c r="E9" s="21"/>
      <c r="F9" s="21"/>
      <c r="G9" s="21"/>
      <c r="H9" s="21"/>
      <c r="I9" s="21"/>
      <c r="J9" s="21"/>
    </row>
    <row r="10" spans="1:10">
      <c r="A10" s="21"/>
      <c r="B10" s="27" t="s">
        <v>52</v>
      </c>
      <c r="C10" s="28">
        <f>2/C7</f>
        <v>8.0000000000000002E-3</v>
      </c>
      <c r="D10" s="28">
        <f t="shared" ref="D10:I10" si="0">2/D7</f>
        <v>1.3333333333333334E-2</v>
      </c>
      <c r="E10" s="28">
        <f t="shared" si="0"/>
        <v>0.04</v>
      </c>
      <c r="F10" s="21"/>
      <c r="G10" s="28">
        <f t="shared" si="0"/>
        <v>4.0000000000000001E-3</v>
      </c>
      <c r="H10" s="28">
        <f t="shared" si="0"/>
        <v>1.3333333333333334E-2</v>
      </c>
      <c r="I10" s="28">
        <f t="shared" si="0"/>
        <v>0.04</v>
      </c>
      <c r="J10" s="21"/>
    </row>
    <row r="11" spans="1:10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0">
      <c r="A12" s="21"/>
      <c r="B12" s="29" t="s">
        <v>53</v>
      </c>
      <c r="C12" s="30">
        <f>(1-C10)*C14/C10</f>
        <v>1240000</v>
      </c>
      <c r="D12" s="30"/>
      <c r="E12" s="30"/>
      <c r="F12" s="31"/>
      <c r="G12" s="30">
        <f>(1-G10)*G14/G10</f>
        <v>2490000</v>
      </c>
      <c r="H12" s="30"/>
      <c r="I12" s="30"/>
      <c r="J12" s="21"/>
    </row>
    <row r="13" spans="1:10">
      <c r="A13" s="21"/>
      <c r="B13" s="32" t="s">
        <v>54</v>
      </c>
      <c r="C13" s="20">
        <v>1245000</v>
      </c>
      <c r="D13" s="20"/>
      <c r="E13" s="20"/>
      <c r="F13" s="33"/>
      <c r="G13" s="20">
        <f>10*249000</f>
        <v>2490000</v>
      </c>
      <c r="H13" s="20"/>
      <c r="I13" s="20"/>
      <c r="J13" s="21"/>
    </row>
    <row r="14" spans="1:10">
      <c r="A14" s="21"/>
      <c r="B14" s="29" t="s">
        <v>55</v>
      </c>
      <c r="C14" s="34">
        <v>10000</v>
      </c>
      <c r="D14" s="35">
        <f>$C$13*D10/(1-D10)</f>
        <v>16824.324324324323</v>
      </c>
      <c r="E14" s="35">
        <f>$C$13*E10/(1-E10)</f>
        <v>51875</v>
      </c>
      <c r="F14" s="36"/>
      <c r="G14" s="35">
        <v>10000</v>
      </c>
      <c r="H14" s="35">
        <f>$G$13*H10/(1-H10)</f>
        <v>33648.648648648646</v>
      </c>
      <c r="I14" s="35">
        <f>$G$13*I10/(1-I10)</f>
        <v>103750</v>
      </c>
      <c r="J14" s="21"/>
    </row>
    <row r="15" spans="1:10">
      <c r="A15" s="21"/>
      <c r="B15" s="32" t="s">
        <v>56</v>
      </c>
      <c r="C15" s="37">
        <v>10000</v>
      </c>
      <c r="D15" s="37">
        <f>2*7870</f>
        <v>15740</v>
      </c>
      <c r="E15" s="37">
        <v>47000</v>
      </c>
      <c r="F15" s="21"/>
      <c r="G15" s="38">
        <v>10000</v>
      </c>
      <c r="H15" s="38">
        <v>33000</v>
      </c>
      <c r="I15" s="38">
        <f>2*47000</f>
        <v>94000</v>
      </c>
      <c r="J15" s="21"/>
    </row>
    <row r="16" spans="1:10">
      <c r="A16" s="21"/>
      <c r="B16" s="21"/>
      <c r="C16" s="31"/>
      <c r="D16" s="31"/>
      <c r="E16" s="31"/>
      <c r="F16" s="21"/>
      <c r="G16" s="21"/>
      <c r="H16" s="21"/>
      <c r="I16" s="21"/>
      <c r="J16" s="21"/>
    </row>
    <row r="17" spans="1:10">
      <c r="A17" s="21"/>
      <c r="B17" s="39" t="s">
        <v>57</v>
      </c>
      <c r="C17" s="40">
        <f>2*(C15+$C$13)/C15</f>
        <v>251</v>
      </c>
      <c r="D17" s="40">
        <f t="shared" ref="D17:E17" si="1">2*(D15+$C$13)/D15</f>
        <v>160.19567979669631</v>
      </c>
      <c r="E17" s="40">
        <f t="shared" si="1"/>
        <v>54.978723404255319</v>
      </c>
      <c r="F17" s="31"/>
      <c r="G17" s="40">
        <f>2*(G15+$G$13)/G15</f>
        <v>500</v>
      </c>
      <c r="H17" s="40">
        <f t="shared" ref="H17:I17" si="2">2*(H15+$G$13)/H15</f>
        <v>152.90909090909091</v>
      </c>
      <c r="I17" s="40">
        <f t="shared" si="2"/>
        <v>54.978723404255319</v>
      </c>
      <c r="J17" s="21"/>
    </row>
    <row r="18" spans="1:10">
      <c r="A18" s="21"/>
      <c r="B18" s="21"/>
      <c r="C18" s="21"/>
      <c r="D18" s="21"/>
      <c r="E18" s="21"/>
      <c r="F18" s="21"/>
      <c r="G18" s="21"/>
      <c r="H18" s="21"/>
      <c r="I18" s="21"/>
      <c r="J18" s="21"/>
    </row>
  </sheetData>
  <mergeCells count="7">
    <mergeCell ref="C12:E12"/>
    <mergeCell ref="C13:E13"/>
    <mergeCell ref="G12:I12"/>
    <mergeCell ref="G13:I13"/>
    <mergeCell ref="B4:I4"/>
    <mergeCell ref="C6:E6"/>
    <mergeCell ref="G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Havard</dc:creator>
  <cp:keywords/>
  <dc:description/>
  <cp:lastModifiedBy>Nicolas Havard</cp:lastModifiedBy>
  <cp:revision/>
  <dcterms:created xsi:type="dcterms:W3CDTF">2019-10-13T22:13:54Z</dcterms:created>
  <dcterms:modified xsi:type="dcterms:W3CDTF">2019-12-17T06:43:32Z</dcterms:modified>
  <cp:category/>
  <cp:contentStatus/>
</cp:coreProperties>
</file>